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omments4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comments5.xml" ContentType="application/vnd.openxmlformats-officedocument.spreadsheetml.comment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comments6.xml" ContentType="application/vnd.openxmlformats-officedocument.spreadsheetml.comment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comments7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omments8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0.xml" ContentType="application/vnd.openxmlformats-officedocument.drawingml.chart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comments9.xml" ContentType="application/vnd.openxmlformats-officedocument.spreadsheetml.comments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15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omments16.xml" ContentType="application/vnd.openxmlformats-officedocument.spreadsheetml.comments+xml"/>
  <Override PartName="/xl/charts/chart103.xml" ContentType="application/vnd.openxmlformats-officedocument.drawingml.chart+xml"/>
  <Override PartName="/xl/drawings/drawing22.xml" ContentType="application/vnd.openxmlformats-officedocument.drawing+xml"/>
  <Override PartName="/xl/comments17.xml" ContentType="application/vnd.openxmlformats-officedocument.spreadsheetml.comments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23.xml" ContentType="application/vnd.openxmlformats-officedocument.drawing+xml"/>
  <Override PartName="/xl/comments18.xml" ContentType="application/vnd.openxmlformats-officedocument.spreadsheetml.comments+xml"/>
  <Override PartName="/xl/charts/chart106.xml" ContentType="application/vnd.openxmlformats-officedocument.drawingml.chart+xml"/>
  <Override PartName="/xl/drawings/drawing24.xml" ContentType="application/vnd.openxmlformats-officedocument.drawing+xml"/>
  <Override PartName="/xl/embeddings/oleObject12.bin" ContentType="application/vnd.openxmlformats-officedocument.oleObject"/>
  <Override PartName="/xl/comments19.xml" ContentType="application/vnd.openxmlformats-officedocument.spreadsheetml.comments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symolin\carpetas comunes\SISTEMA DE GESTIÓN TS 16949 REV 01\INDICADORES  EMPRESA\2015\"/>
    </mc:Choice>
  </mc:AlternateContent>
  <bookViews>
    <workbookView xWindow="0" yWindow="0" windowWidth="10890" windowHeight="7500" tabRatio="655" activeTab="1"/>
  </bookViews>
  <sheets>
    <sheet name="DATOS" sheetId="7" r:id="rId1"/>
    <sheet name="MATG-JGS-JAAR AÑO (LINARES)" sheetId="1" r:id="rId2"/>
    <sheet name="MATG (SESEÑA)" sheetId="32" state="hidden" r:id="rId3"/>
    <sheet name="RSB (LINARES)" sheetId="4" r:id="rId4"/>
    <sheet name="RSB (SESEÑA)" sheetId="33" state="hidden" r:id="rId5"/>
    <sheet name="JCC-NLM AÑO (LINARES)" sheetId="5" r:id="rId6"/>
    <sheet name="MMN (SESEÑA)" sheetId="34" state="hidden" r:id="rId7"/>
    <sheet name="JNL-MCG AÑO (LINARES)" sheetId="6" r:id="rId8"/>
    <sheet name="MAC (SESEÑA)" sheetId="35" state="hidden" r:id="rId9"/>
    <sheet name="AÑO (LINARES)NUEVOS" sheetId="41" r:id="rId10"/>
    <sheet name="AÑO (LINARES)" sheetId="3" r:id="rId11"/>
    <sheet name="AÑO (SESEÑA)" sheetId="36" state="hidden" r:id="rId12"/>
    <sheet name="COMPARAC. REAL-PRESUPUESTO (L)" sheetId="29" r:id="rId13"/>
    <sheet name="COMPARAC. REAL-PRESUPUESTO (S)" sheetId="37" state="hidden" r:id="rId14"/>
    <sheet name="EVOLUCION RATIOS (LINARES) " sheetId="28" state="hidden" r:id="rId15"/>
    <sheet name="EVOLUCION RATIOS (SESEÑA)" sheetId="38" state="hidden" r:id="rId16"/>
    <sheet name="PRODUCTIV. OPERARIO X DIA (L)" sheetId="10" r:id="rId17"/>
    <sheet name="PRODUCTIV. OPERARIO X DIA (S)" sheetId="39" state="hidden" r:id="rId18"/>
    <sheet name="DATOS PERSONAL (L)" sheetId="9" r:id="rId19"/>
    <sheet name="DATOS PERSONAL (S)" sheetId="40" state="hidden" r:id="rId20"/>
    <sheet name="DESCLOSE FACTURACION" sheetId="11" state="hidden" r:id="rId21"/>
    <sheet name="FACTURACION %CLIENTES" sheetId="12" state="hidden" r:id="rId22"/>
    <sheet name="QUECAMBIARCADAMES" sheetId="15" state="hidden" r:id="rId23"/>
    <sheet name="Ventas por Grupo Cliente 2015" sheetId="16" r:id="rId24"/>
    <sheet name="Promedio Fact x día trabajo" sheetId="18" r:id="rId25"/>
    <sheet name="Comparación Vtas mes 2014-2015" sheetId="13" r:id="rId26"/>
    <sheet name="Comparación Acum. Vtas 2014-15" sheetId="14" r:id="rId27"/>
    <sheet name="Evolucion del presonal 2015" sheetId="19" r:id="rId28"/>
    <sheet name="Clasificación del personal" sheetId="20" r:id="rId29"/>
    <sheet name="Resumen evaluación aprobados" sheetId="21" state="hidden" r:id="rId30"/>
    <sheet name="Presupuesto 2015 (Plantilla)" sheetId="31" r:id="rId31"/>
  </sheets>
  <externalReferences>
    <externalReference r:id="rId32"/>
    <externalReference r:id="rId33"/>
    <externalReference r:id="rId34"/>
  </externalReferences>
  <definedNames>
    <definedName name="_xlnm._FilterDatabase" localSheetId="9" hidden="1">'AÑO (LINARES)NUEVOS'!$A$6:$U$59</definedName>
    <definedName name="_xlnm.Print_Area" localSheetId="26">'Comparación Acum. Vtas 2014-15'!$B$2:$O$50</definedName>
    <definedName name="_xlnm.Print_Area" localSheetId="25">'Comparación Vtas mes 2014-2015'!$A$2:$N$49</definedName>
    <definedName name="_xlnm.Print_Area" localSheetId="21">'FACTURACION %CLIENTES'!$A$1:$Z$80</definedName>
    <definedName name="_xlnm.Print_Area" localSheetId="16">'PRODUCTIV. OPERARIO X DIA (L)'!$A$1:$R$21</definedName>
    <definedName name="_xlnm.Print_Area" localSheetId="24">'Promedio Fact x día trabajo'!$A$2:$N$70</definedName>
    <definedName name="_xlnm.Print_Area" localSheetId="23">'Ventas por Grupo Cliente 2015'!$A$1:$O$56</definedName>
  </definedNames>
  <calcPr calcId="152511"/>
</workbook>
</file>

<file path=xl/calcChain.xml><?xml version="1.0" encoding="utf-8"?>
<calcChain xmlns="http://schemas.openxmlformats.org/spreadsheetml/2006/main">
  <c r="C49" i="1" l="1"/>
  <c r="C51" i="1" s="1"/>
  <c r="N141" i="4" l="1"/>
  <c r="N143" i="4" s="1"/>
  <c r="M141" i="4"/>
  <c r="M143" i="4" s="1"/>
  <c r="L141" i="4"/>
  <c r="L143" i="4" s="1"/>
  <c r="K141" i="4"/>
  <c r="K143" i="4" s="1"/>
  <c r="J141" i="4"/>
  <c r="J143" i="4" s="1"/>
  <c r="I141" i="4"/>
  <c r="I143" i="4" s="1"/>
  <c r="H141" i="4"/>
  <c r="H143" i="4" s="1"/>
  <c r="G141" i="4"/>
  <c r="G143" i="4" s="1"/>
  <c r="F141" i="4"/>
  <c r="F143" i="4" s="1"/>
  <c r="E143" i="4"/>
  <c r="D141" i="4"/>
  <c r="D143" i="4" s="1"/>
  <c r="C141" i="4"/>
  <c r="C143" i="4" s="1"/>
  <c r="N129" i="5"/>
  <c r="M129" i="5"/>
  <c r="L129" i="5"/>
  <c r="K129" i="5"/>
  <c r="J129" i="5"/>
  <c r="I129" i="5"/>
  <c r="H129" i="5"/>
  <c r="G129" i="5"/>
  <c r="F129" i="5"/>
  <c r="E129" i="5"/>
  <c r="D129" i="5"/>
  <c r="C129" i="5"/>
  <c r="D119" i="5"/>
  <c r="E119" i="5"/>
  <c r="F119" i="5"/>
  <c r="G119" i="5"/>
  <c r="H119" i="5"/>
  <c r="I119" i="5"/>
  <c r="J119" i="5"/>
  <c r="K119" i="5"/>
  <c r="L119" i="5"/>
  <c r="M119" i="5"/>
  <c r="N119" i="5"/>
  <c r="C119" i="5"/>
  <c r="D35" i="5"/>
  <c r="E35" i="5"/>
  <c r="F35" i="5"/>
  <c r="G35" i="5"/>
  <c r="H35" i="5"/>
  <c r="I35" i="5"/>
  <c r="J35" i="5"/>
  <c r="K35" i="5"/>
  <c r="L35" i="5"/>
  <c r="M35" i="5"/>
  <c r="N35" i="5"/>
  <c r="C35" i="5"/>
  <c r="D108" i="5"/>
  <c r="E108" i="5"/>
  <c r="F108" i="5"/>
  <c r="G108" i="5"/>
  <c r="H108" i="5"/>
  <c r="I108" i="5"/>
  <c r="J108" i="5"/>
  <c r="K108" i="5"/>
  <c r="L108" i="5"/>
  <c r="M108" i="5"/>
  <c r="N108" i="5"/>
  <c r="C108" i="5"/>
  <c r="D96" i="5"/>
  <c r="E96" i="5"/>
  <c r="F96" i="5"/>
  <c r="G96" i="5"/>
  <c r="H96" i="5"/>
  <c r="I96" i="5"/>
  <c r="J96" i="5"/>
  <c r="K96" i="5"/>
  <c r="L96" i="5"/>
  <c r="M96" i="5"/>
  <c r="N96" i="5"/>
  <c r="C96" i="5"/>
  <c r="N104" i="1"/>
  <c r="K104" i="1"/>
  <c r="K106" i="1" s="1"/>
  <c r="H104" i="1"/>
  <c r="H106" i="1" s="1"/>
  <c r="E104" i="1"/>
  <c r="E106" i="1" s="1"/>
  <c r="AL56" i="29" l="1"/>
  <c r="H110" i="6" l="1"/>
  <c r="K21" i="5" l="1"/>
  <c r="N21" i="5"/>
  <c r="N17" i="5" l="1"/>
  <c r="M17" i="5"/>
  <c r="H21" i="5"/>
  <c r="E21" i="5"/>
  <c r="D128" i="4" l="1"/>
  <c r="E128" i="4"/>
  <c r="C128" i="4"/>
  <c r="C113" i="4"/>
  <c r="E126" i="4"/>
  <c r="D126" i="4"/>
  <c r="C126" i="4"/>
  <c r="C111" i="4"/>
  <c r="E19" i="4"/>
  <c r="C56" i="1" l="1"/>
  <c r="C58" i="1" s="1"/>
  <c r="C60" i="1" s="1"/>
  <c r="N28" i="1"/>
  <c r="M28" i="1"/>
  <c r="L28" i="1"/>
  <c r="K28" i="1"/>
  <c r="J28" i="1"/>
  <c r="I28" i="1"/>
  <c r="H28" i="1"/>
  <c r="G28" i="1"/>
  <c r="F28" i="1"/>
  <c r="E28" i="1"/>
  <c r="D28" i="1"/>
  <c r="C28" i="1"/>
  <c r="D27" i="1"/>
  <c r="D29" i="1" s="1"/>
  <c r="N27" i="1"/>
  <c r="M27" i="1"/>
  <c r="L27" i="1"/>
  <c r="K27" i="1"/>
  <c r="J27" i="1"/>
  <c r="I27" i="1"/>
  <c r="H27" i="1"/>
  <c r="G27" i="1"/>
  <c r="F27" i="1"/>
  <c r="E27" i="1"/>
  <c r="C27" i="1"/>
  <c r="E29" i="1" l="1"/>
  <c r="G29" i="1"/>
  <c r="I29" i="1"/>
  <c r="K29" i="1"/>
  <c r="M29" i="1"/>
  <c r="E30" i="1"/>
  <c r="E32" i="1" s="1"/>
  <c r="F29" i="1"/>
  <c r="H29" i="1"/>
  <c r="J29" i="1"/>
  <c r="L29" i="1"/>
  <c r="N29" i="1"/>
  <c r="C29" i="1"/>
  <c r="H30" i="1"/>
  <c r="H32" i="1" s="1"/>
  <c r="N30" i="1"/>
  <c r="N32" i="1" s="1"/>
  <c r="K30" i="1"/>
  <c r="K32" i="1" s="1"/>
  <c r="P21" i="10" l="1"/>
  <c r="AJ247" i="7"/>
  <c r="N9" i="14" l="1"/>
  <c r="M9" i="14"/>
  <c r="L9" i="14"/>
  <c r="K9" i="14"/>
  <c r="J9" i="14"/>
  <c r="I9" i="14"/>
  <c r="H9" i="14"/>
  <c r="G9" i="14"/>
  <c r="F9" i="14"/>
  <c r="E9" i="14"/>
  <c r="D9" i="14"/>
  <c r="C9" i="14"/>
  <c r="M9" i="13"/>
  <c r="L9" i="13"/>
  <c r="K9" i="13"/>
  <c r="J9" i="13"/>
  <c r="I9" i="13"/>
  <c r="H9" i="13"/>
  <c r="G9" i="13"/>
  <c r="F9" i="13"/>
  <c r="E9" i="13"/>
  <c r="D9" i="13"/>
  <c r="C9" i="13"/>
  <c r="B9" i="13"/>
  <c r="M8" i="13"/>
  <c r="L8" i="13"/>
  <c r="K8" i="13"/>
  <c r="J8" i="13"/>
  <c r="I8" i="13"/>
  <c r="H8" i="13"/>
  <c r="G8" i="13"/>
  <c r="F8" i="13"/>
  <c r="E8" i="13"/>
  <c r="D8" i="13"/>
  <c r="C8" i="13"/>
  <c r="B8" i="13"/>
  <c r="C8" i="14" s="1"/>
  <c r="D8" i="14" l="1"/>
  <c r="E8" i="14" s="1"/>
  <c r="F8" i="14" s="1"/>
  <c r="G8" i="14" s="1"/>
  <c r="H8" i="14" s="1"/>
  <c r="I8" i="14" s="1"/>
  <c r="J8" i="14" s="1"/>
  <c r="K8" i="14" s="1"/>
  <c r="L8" i="14" s="1"/>
  <c r="M8" i="14" s="1"/>
  <c r="N8" i="14" s="1"/>
  <c r="B30" i="18"/>
  <c r="B28" i="18"/>
  <c r="N8" i="18"/>
  <c r="N9" i="18"/>
  <c r="J9" i="3" l="1"/>
  <c r="P69" i="20"/>
  <c r="P67" i="20"/>
  <c r="O65" i="20"/>
  <c r="P65" i="20"/>
  <c r="N32" i="6" l="1"/>
  <c r="N34" i="6" s="1"/>
  <c r="N36" i="6" s="1"/>
  <c r="M32" i="6"/>
  <c r="M34" i="6" s="1"/>
  <c r="M36" i="6" s="1"/>
  <c r="L32" i="6"/>
  <c r="L34" i="6" s="1"/>
  <c r="L36" i="6" s="1"/>
  <c r="K32" i="6"/>
  <c r="K34" i="6" s="1"/>
  <c r="K36" i="6" s="1"/>
  <c r="J32" i="6"/>
  <c r="J34" i="6" s="1"/>
  <c r="J36" i="6" s="1"/>
  <c r="I32" i="6"/>
  <c r="I34" i="6" s="1"/>
  <c r="I36" i="6" s="1"/>
  <c r="N58" i="6" l="1"/>
  <c r="N57" i="6"/>
  <c r="J58" i="6"/>
  <c r="I58" i="6"/>
  <c r="K58" i="6"/>
  <c r="K57" i="6"/>
  <c r="H57" i="6"/>
  <c r="AO30" i="29" l="1"/>
  <c r="AO21" i="29" s="1"/>
  <c r="AO24" i="29"/>
  <c r="AO26" i="29"/>
  <c r="AO20" i="29"/>
  <c r="AL49" i="29"/>
  <c r="AL42" i="29"/>
  <c r="AL25" i="29"/>
  <c r="P80" i="20" l="1"/>
  <c r="O80" i="20"/>
  <c r="N80" i="20"/>
  <c r="F80" i="20"/>
  <c r="G80" i="20"/>
  <c r="H80" i="20"/>
  <c r="I80" i="20"/>
  <c r="J80" i="20"/>
  <c r="K80" i="20"/>
  <c r="L80" i="20"/>
  <c r="M80" i="20"/>
  <c r="E80" i="20"/>
  <c r="P76" i="20"/>
  <c r="O76" i="20"/>
  <c r="F77" i="20"/>
  <c r="G77" i="20"/>
  <c r="H77" i="20"/>
  <c r="I77" i="20"/>
  <c r="J77" i="20"/>
  <c r="K77" i="20"/>
  <c r="L77" i="20"/>
  <c r="M77" i="20"/>
  <c r="N77" i="20"/>
  <c r="O77" i="20"/>
  <c r="P77" i="20"/>
  <c r="F76" i="20"/>
  <c r="G76" i="20"/>
  <c r="H76" i="20"/>
  <c r="I76" i="20"/>
  <c r="J76" i="20"/>
  <c r="K76" i="20"/>
  <c r="L76" i="20"/>
  <c r="M76" i="20"/>
  <c r="N76" i="20"/>
  <c r="F75" i="20"/>
  <c r="G75" i="20"/>
  <c r="H75" i="20"/>
  <c r="I75" i="20"/>
  <c r="J75" i="20"/>
  <c r="K75" i="20"/>
  <c r="L75" i="20"/>
  <c r="M75" i="20"/>
  <c r="N75" i="20"/>
  <c r="O75" i="20"/>
  <c r="P75" i="20"/>
  <c r="E77" i="20"/>
  <c r="E76" i="20"/>
  <c r="E64" i="20"/>
  <c r="E75" i="20"/>
  <c r="E63" i="20"/>
  <c r="P70" i="20"/>
  <c r="P68" i="20"/>
  <c r="P64" i="20"/>
  <c r="O70" i="20"/>
  <c r="O69" i="20"/>
  <c r="O68" i="20"/>
  <c r="N70" i="20"/>
  <c r="N69" i="20"/>
  <c r="N68" i="20"/>
  <c r="N65" i="20"/>
  <c r="M70" i="20"/>
  <c r="M69" i="20"/>
  <c r="M68" i="20"/>
  <c r="M65" i="20"/>
  <c r="M64" i="20"/>
  <c r="L65" i="20"/>
  <c r="L70" i="20"/>
  <c r="L69" i="20"/>
  <c r="K70" i="20"/>
  <c r="L68" i="20"/>
  <c r="K65" i="20"/>
  <c r="L64" i="20"/>
  <c r="L63" i="20"/>
  <c r="M63" i="20"/>
  <c r="N63" i="20"/>
  <c r="O63" i="20"/>
  <c r="P63" i="20"/>
  <c r="K69" i="20"/>
  <c r="K64" i="20"/>
  <c r="J69" i="20"/>
  <c r="J65" i="20"/>
  <c r="J64" i="20"/>
  <c r="I69" i="20"/>
  <c r="I65" i="20"/>
  <c r="I64" i="20"/>
  <c r="H65" i="20"/>
  <c r="H64" i="20"/>
  <c r="G65" i="20"/>
  <c r="G64" i="20"/>
  <c r="F69" i="20"/>
  <c r="F64" i="20"/>
  <c r="E69" i="20"/>
  <c r="N64" i="20"/>
  <c r="O64" i="20"/>
  <c r="F68" i="20"/>
  <c r="F65" i="20"/>
  <c r="E65" i="20"/>
  <c r="AU261" i="7" l="1"/>
  <c r="AU260" i="7"/>
  <c r="AU259" i="7"/>
  <c r="AQ261" i="7"/>
  <c r="AQ260" i="7"/>
  <c r="AQ259" i="7"/>
  <c r="AP260" i="7"/>
  <c r="AM261" i="7"/>
  <c r="AM260" i="7"/>
  <c r="AM259" i="7"/>
  <c r="AI261" i="7"/>
  <c r="AI259" i="7"/>
  <c r="AH260" i="7"/>
  <c r="AE261" i="7"/>
  <c r="AE259" i="7"/>
  <c r="AD260" i="7"/>
  <c r="AA261" i="7"/>
  <c r="AA259" i="7"/>
  <c r="Z260" i="7"/>
  <c r="W261" i="7"/>
  <c r="W259" i="7"/>
  <c r="V260" i="7"/>
  <c r="S48" i="37" l="1"/>
  <c r="S261" i="7"/>
  <c r="S259" i="7"/>
  <c r="R261" i="7"/>
  <c r="R260" i="7"/>
  <c r="R259" i="7"/>
  <c r="O261" i="7"/>
  <c r="O259" i="7"/>
  <c r="N261" i="7"/>
  <c r="N260" i="7"/>
  <c r="N259" i="7"/>
  <c r="K261" i="7"/>
  <c r="K260" i="7"/>
  <c r="K259" i="7"/>
  <c r="J261" i="7"/>
  <c r="J259" i="7"/>
  <c r="G260" i="7"/>
  <c r="G259" i="7"/>
  <c r="F261" i="7"/>
  <c r="F259" i="7"/>
  <c r="C259" i="7"/>
  <c r="C260" i="7"/>
  <c r="B260" i="7"/>
  <c r="B261" i="7"/>
  <c r="B259" i="7"/>
  <c r="P30" i="37"/>
  <c r="Q29" i="37"/>
  <c r="K25" i="37" l="1"/>
  <c r="J48" i="37"/>
  <c r="I33" i="6" l="1"/>
  <c r="J33" i="6"/>
  <c r="K33" i="6"/>
  <c r="L33" i="6"/>
  <c r="M33" i="6"/>
  <c r="N33" i="6"/>
  <c r="K68" i="20" l="1"/>
  <c r="K63" i="20"/>
  <c r="J70" i="20"/>
  <c r="J68" i="20"/>
  <c r="J63" i="20"/>
  <c r="N154" i="7"/>
  <c r="D57" i="6" l="1"/>
  <c r="E57" i="6"/>
  <c r="F57" i="6"/>
  <c r="G57" i="6"/>
  <c r="C57" i="6"/>
  <c r="D166" i="6" l="1"/>
  <c r="E166" i="6"/>
  <c r="F166" i="6"/>
  <c r="G166" i="6"/>
  <c r="H166" i="6"/>
  <c r="I166" i="6"/>
  <c r="J166" i="6"/>
  <c r="K166" i="6"/>
  <c r="L166" i="6"/>
  <c r="M166" i="6"/>
  <c r="N166" i="6"/>
  <c r="C166" i="6"/>
  <c r="C58" i="6"/>
  <c r="C60" i="6" s="1"/>
  <c r="D58" i="6"/>
  <c r="D60" i="6" s="1"/>
  <c r="E58" i="6"/>
  <c r="F58" i="6"/>
  <c r="F60" i="6" s="1"/>
  <c r="G58" i="6"/>
  <c r="G60" i="6" s="1"/>
  <c r="H58" i="6"/>
  <c r="H60" i="6" s="1"/>
  <c r="E60" i="6"/>
  <c r="I60" i="6"/>
  <c r="J60" i="6"/>
  <c r="K60" i="6"/>
  <c r="L60" i="6"/>
  <c r="M60" i="6"/>
  <c r="N60" i="6"/>
  <c r="H179" i="6" l="1"/>
  <c r="I179" i="6"/>
  <c r="J179" i="6"/>
  <c r="K179" i="6"/>
  <c r="L179" i="6"/>
  <c r="M179" i="6"/>
  <c r="N179" i="6"/>
  <c r="D179" i="6"/>
  <c r="E179" i="6"/>
  <c r="F179" i="6"/>
  <c r="G179" i="6"/>
  <c r="C179" i="6"/>
  <c r="H181" i="6"/>
  <c r="E181" i="6"/>
  <c r="D108" i="6"/>
  <c r="E108" i="6"/>
  <c r="F108" i="6"/>
  <c r="G108" i="6"/>
  <c r="H108" i="6"/>
  <c r="I108" i="6"/>
  <c r="J108" i="6"/>
  <c r="K108" i="6"/>
  <c r="K181" i="6" s="1"/>
  <c r="L108" i="6"/>
  <c r="M108" i="6"/>
  <c r="N108" i="6"/>
  <c r="N181" i="6" s="1"/>
  <c r="C108" i="6"/>
  <c r="C155" i="6" l="1"/>
  <c r="C143" i="6"/>
  <c r="G130" i="6"/>
  <c r="F130" i="6"/>
  <c r="E130" i="6"/>
  <c r="D130" i="6"/>
  <c r="C130" i="6"/>
  <c r="N130" i="6"/>
  <c r="M130" i="6"/>
  <c r="L130" i="6"/>
  <c r="K130" i="6"/>
  <c r="J130" i="6"/>
  <c r="I130" i="6"/>
  <c r="H13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I70" i="20" l="1"/>
  <c r="I68" i="20"/>
  <c r="H68" i="20"/>
  <c r="H69" i="20"/>
  <c r="G69" i="20"/>
  <c r="G68" i="20"/>
  <c r="F63" i="20"/>
  <c r="G63" i="20"/>
  <c r="H63" i="20"/>
  <c r="I63" i="20"/>
  <c r="E68" i="20"/>
  <c r="H154" i="7" l="1"/>
  <c r="H32" i="6" l="1"/>
  <c r="G32" i="6"/>
  <c r="F31" i="6"/>
  <c r="F32" i="6"/>
  <c r="E32" i="6"/>
  <c r="E31" i="6"/>
  <c r="D32" i="6"/>
  <c r="D31" i="6"/>
  <c r="D22" i="6"/>
  <c r="G31" i="6"/>
  <c r="G34" i="6" s="1"/>
  <c r="G36" i="6" s="1"/>
  <c r="C31" i="6"/>
  <c r="C32" i="6"/>
  <c r="D34" i="6" l="1"/>
  <c r="D36" i="6" s="1"/>
  <c r="E33" i="6"/>
  <c r="E34" i="6"/>
  <c r="E36" i="6" s="1"/>
  <c r="C34" i="6"/>
  <c r="C36" i="6" s="1"/>
  <c r="F34" i="6"/>
  <c r="F36" i="6" s="1"/>
  <c r="H33" i="6"/>
  <c r="H34" i="6"/>
  <c r="H36" i="6" s="1"/>
  <c r="G33" i="6"/>
  <c r="D33" i="6"/>
  <c r="F33" i="6"/>
  <c r="C33" i="6"/>
  <c r="AF9" i="29"/>
  <c r="E36" i="29" l="1"/>
  <c r="E9" i="29"/>
  <c r="K81" i="20" l="1"/>
  <c r="L81" i="20"/>
  <c r="M81" i="20"/>
  <c r="N81" i="20"/>
  <c r="O81" i="20"/>
  <c r="P81" i="20"/>
  <c r="AB35" i="7" l="1"/>
  <c r="AB34" i="7"/>
  <c r="AA35" i="7"/>
  <c r="X154" i="7"/>
  <c r="AG4" i="29" l="1"/>
  <c r="T25" i="29" l="1"/>
  <c r="T23" i="29"/>
  <c r="AB12" i="7" l="1"/>
  <c r="L154" i="7" l="1"/>
  <c r="J154" i="7"/>
  <c r="N59" i="41" l="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J81" i="20" l="1"/>
  <c r="I81" i="20"/>
  <c r="H81" i="20"/>
  <c r="G81" i="20"/>
  <c r="F81" i="20"/>
  <c r="E81" i="20"/>
  <c r="E67" i="20"/>
  <c r="T29" i="37"/>
  <c r="E9" i="37"/>
  <c r="E8" i="37"/>
  <c r="H9" i="37"/>
  <c r="H8" i="37"/>
  <c r="K9" i="37"/>
  <c r="K8" i="37"/>
  <c r="Q29" i="29"/>
  <c r="B26" i="18" l="1"/>
  <c r="B24" i="18"/>
  <c r="N11" i="18"/>
  <c r="B18" i="18" l="1"/>
  <c r="M12" i="16" l="1"/>
  <c r="L12" i="16"/>
  <c r="K12" i="16"/>
  <c r="J12" i="16"/>
  <c r="I12" i="16"/>
  <c r="H12" i="16"/>
  <c r="G12" i="16"/>
  <c r="F12" i="16"/>
  <c r="E12" i="16"/>
  <c r="D12" i="16"/>
  <c r="C12" i="16"/>
  <c r="B12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B8" i="16"/>
  <c r="B14" i="16"/>
  <c r="B15" i="16"/>
  <c r="AA210" i="7"/>
  <c r="B17" i="16" l="1"/>
  <c r="G48" i="37"/>
  <c r="AO48" i="37"/>
  <c r="AO45" i="37"/>
  <c r="AO44" i="37"/>
  <c r="AO38" i="37"/>
  <c r="AQ38" i="37" s="1"/>
  <c r="AO35" i="37"/>
  <c r="AO34" i="37"/>
  <c r="AO31" i="37"/>
  <c r="AO30" i="37"/>
  <c r="AO27" i="37"/>
  <c r="AO26" i="37"/>
  <c r="AO24" i="37"/>
  <c r="AO22" i="37"/>
  <c r="AO20" i="37"/>
  <c r="AO19" i="37"/>
  <c r="AO18" i="37"/>
  <c r="AO17" i="37"/>
  <c r="AO15" i="37"/>
  <c r="AP15" i="37"/>
  <c r="AO41" i="29"/>
  <c r="AQ41" i="29" s="1"/>
  <c r="G51" i="29"/>
  <c r="J51" i="29"/>
  <c r="M51" i="29"/>
  <c r="P51" i="29"/>
  <c r="S51" i="29"/>
  <c r="V51" i="29"/>
  <c r="Y51" i="29"/>
  <c r="AB51" i="29"/>
  <c r="AE51" i="29"/>
  <c r="AH51" i="29"/>
  <c r="AK51" i="29"/>
  <c r="AN51" i="29"/>
  <c r="AP51" i="29"/>
  <c r="AO16" i="37" l="1"/>
  <c r="AO51" i="29"/>
  <c r="AQ51" i="29" s="1"/>
  <c r="AK33" i="29"/>
  <c r="AK32" i="29"/>
  <c r="AH33" i="29"/>
  <c r="AH32" i="29"/>
  <c r="AE33" i="29"/>
  <c r="AE32" i="29"/>
  <c r="AB33" i="29"/>
  <c r="AB32" i="29"/>
  <c r="Y33" i="29"/>
  <c r="Y32" i="29"/>
  <c r="V33" i="29"/>
  <c r="V32" i="29"/>
  <c r="S33" i="29"/>
  <c r="S32" i="29"/>
  <c r="P33" i="29"/>
  <c r="P32" i="29"/>
  <c r="M33" i="29"/>
  <c r="M32" i="29"/>
  <c r="J33" i="29"/>
  <c r="J32" i="29"/>
  <c r="G33" i="29"/>
  <c r="G32" i="29"/>
  <c r="AN33" i="29"/>
  <c r="AO33" i="29"/>
  <c r="AQ33" i="29" s="1"/>
  <c r="AO32" i="29"/>
  <c r="AQ32" i="29" s="1"/>
  <c r="AN32" i="29"/>
  <c r="AL23" i="29"/>
  <c r="N262" i="7" l="1"/>
  <c r="N29" i="29"/>
  <c r="AB142" i="7" l="1"/>
  <c r="AA142" i="7"/>
  <c r="AB141" i="7"/>
  <c r="AA141" i="7"/>
  <c r="AB139" i="7"/>
  <c r="AA139" i="7"/>
  <c r="AB126" i="7"/>
  <c r="AA126" i="7"/>
  <c r="AB109" i="7"/>
  <c r="AA109" i="7"/>
  <c r="V154" i="7" l="1"/>
  <c r="K79" i="20" l="1"/>
  <c r="L79" i="20"/>
  <c r="M79" i="20"/>
  <c r="N79" i="20"/>
  <c r="O79" i="20"/>
  <c r="P79" i="20"/>
  <c r="K67" i="20"/>
  <c r="L67" i="20"/>
  <c r="M67" i="20"/>
  <c r="N67" i="20"/>
  <c r="O67" i="20"/>
  <c r="P154" i="7" l="1"/>
  <c r="P161" i="7" s="1"/>
  <c r="W29" i="37" l="1"/>
  <c r="AI8" i="29" l="1"/>
  <c r="AA140" i="7" l="1"/>
  <c r="AB140" i="7"/>
  <c r="M7" i="18" l="1"/>
  <c r="L7" i="18"/>
  <c r="K7" i="18"/>
  <c r="J7" i="18"/>
  <c r="I7" i="18"/>
  <c r="H7" i="18"/>
  <c r="G7" i="18"/>
  <c r="F7" i="18"/>
  <c r="E7" i="18"/>
  <c r="D7" i="18"/>
  <c r="C7" i="18"/>
  <c r="B7" i="18"/>
  <c r="D15" i="38"/>
  <c r="C15" i="38"/>
  <c r="B15" i="38"/>
  <c r="D13" i="38"/>
  <c r="C13" i="38"/>
  <c r="B13" i="38"/>
  <c r="D12" i="38"/>
  <c r="C12" i="38"/>
  <c r="B12" i="38"/>
  <c r="D11" i="38"/>
  <c r="C11" i="38"/>
  <c r="B11" i="38"/>
  <c r="D10" i="38"/>
  <c r="C10" i="38"/>
  <c r="B10" i="38"/>
  <c r="D9" i="38"/>
  <c r="C9" i="38"/>
  <c r="B9" i="38"/>
  <c r="D8" i="38"/>
  <c r="C8" i="38"/>
  <c r="B8" i="38"/>
  <c r="D7" i="38"/>
  <c r="C7" i="38"/>
  <c r="B7" i="38"/>
  <c r="D6" i="38"/>
  <c r="C6" i="38"/>
  <c r="B6" i="38"/>
  <c r="G15" i="38"/>
  <c r="F15" i="38"/>
  <c r="E15" i="38"/>
  <c r="F13" i="38"/>
  <c r="E13" i="38"/>
  <c r="F12" i="38"/>
  <c r="E12" i="38"/>
  <c r="F11" i="38"/>
  <c r="E11" i="38"/>
  <c r="F10" i="38"/>
  <c r="E10" i="38"/>
  <c r="F9" i="38"/>
  <c r="E9" i="38"/>
  <c r="F8" i="38"/>
  <c r="E8" i="38"/>
  <c r="G7" i="38"/>
  <c r="F7" i="38"/>
  <c r="E7" i="38"/>
  <c r="G6" i="38"/>
  <c r="F6" i="38"/>
  <c r="E6" i="38"/>
  <c r="J15" i="28"/>
  <c r="I15" i="28"/>
  <c r="H15" i="28"/>
  <c r="J13" i="28"/>
  <c r="I13" i="28"/>
  <c r="H13" i="28"/>
  <c r="J12" i="28"/>
  <c r="I12" i="28"/>
  <c r="H12" i="28"/>
  <c r="J11" i="28"/>
  <c r="I11" i="28"/>
  <c r="H11" i="28"/>
  <c r="J10" i="28"/>
  <c r="I10" i="28"/>
  <c r="H10" i="28"/>
  <c r="J9" i="28"/>
  <c r="I9" i="28"/>
  <c r="H9" i="28"/>
  <c r="J8" i="28"/>
  <c r="I8" i="28"/>
  <c r="H8" i="28"/>
  <c r="I7" i="28"/>
  <c r="H7" i="28"/>
  <c r="I6" i="28"/>
  <c r="H6" i="28"/>
  <c r="M15" i="28"/>
  <c r="L15" i="28"/>
  <c r="K15" i="28"/>
  <c r="M13" i="28"/>
  <c r="L13" i="28"/>
  <c r="K13" i="28"/>
  <c r="M12" i="28"/>
  <c r="L12" i="28"/>
  <c r="K12" i="28"/>
  <c r="M11" i="28"/>
  <c r="L11" i="28"/>
  <c r="K11" i="28"/>
  <c r="M10" i="28"/>
  <c r="L10" i="28"/>
  <c r="K10" i="28"/>
  <c r="M9" i="28"/>
  <c r="L9" i="28"/>
  <c r="K9" i="28"/>
  <c r="M8" i="28"/>
  <c r="L8" i="28"/>
  <c r="K8" i="28"/>
  <c r="M7" i="28"/>
  <c r="L7" i="28"/>
  <c r="K7" i="28"/>
  <c r="M6" i="28"/>
  <c r="L6" i="28"/>
  <c r="K6" i="28"/>
  <c r="N7" i="18" l="1"/>
  <c r="B32" i="18" s="1"/>
  <c r="Z29" i="37"/>
  <c r="AC6" i="29"/>
  <c r="W6" i="29"/>
  <c r="T6" i="29"/>
  <c r="T40" i="29"/>
  <c r="N35" i="29"/>
  <c r="AO10" i="29"/>
  <c r="AA168" i="7" l="1"/>
  <c r="C67" i="11" l="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B67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B66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B65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B64" i="11"/>
  <c r="AA67" i="11" l="1"/>
  <c r="AA66" i="11"/>
  <c r="Z66" i="11"/>
  <c r="AA64" i="11"/>
  <c r="AA65" i="11"/>
  <c r="Z65" i="11"/>
  <c r="Z64" i="11"/>
  <c r="Z67" i="11"/>
  <c r="T7" i="10"/>
  <c r="L17" i="5"/>
  <c r="K17" i="5"/>
  <c r="J17" i="5"/>
  <c r="I17" i="5"/>
  <c r="H17" i="5"/>
  <c r="G17" i="5"/>
  <c r="F17" i="5"/>
  <c r="E17" i="5"/>
  <c r="D17" i="5"/>
  <c r="C17" i="5"/>
  <c r="N53" i="32"/>
  <c r="M53" i="32"/>
  <c r="L53" i="32"/>
  <c r="K53" i="32"/>
  <c r="J53" i="32"/>
  <c r="I53" i="32"/>
  <c r="H53" i="32"/>
  <c r="G53" i="32"/>
  <c r="F53" i="32"/>
  <c r="E53" i="32"/>
  <c r="D53" i="32"/>
  <c r="C53" i="32"/>
  <c r="S45" i="3" l="1"/>
  <c r="S46" i="3"/>
  <c r="S47" i="3"/>
  <c r="N106" i="1"/>
  <c r="Z29" i="7"/>
  <c r="Z28" i="7"/>
  <c r="Z27" i="7"/>
  <c r="Y29" i="7"/>
  <c r="Y28" i="7"/>
  <c r="Y27" i="7"/>
  <c r="X29" i="7"/>
  <c r="X28" i="7"/>
  <c r="X27" i="7"/>
  <c r="W29" i="7"/>
  <c r="W28" i="7"/>
  <c r="W27" i="7"/>
  <c r="V29" i="7"/>
  <c r="V28" i="7"/>
  <c r="V27" i="7"/>
  <c r="U29" i="7"/>
  <c r="U28" i="7"/>
  <c r="U27" i="7"/>
  <c r="T29" i="7"/>
  <c r="T28" i="7"/>
  <c r="T27" i="7"/>
  <c r="S29" i="7"/>
  <c r="S28" i="7"/>
  <c r="S27" i="7"/>
  <c r="R29" i="7"/>
  <c r="R28" i="7"/>
  <c r="R27" i="7"/>
  <c r="Q29" i="7"/>
  <c r="Q28" i="7"/>
  <c r="Q27" i="7"/>
  <c r="Y25" i="7"/>
  <c r="Y24" i="7"/>
  <c r="W25" i="7"/>
  <c r="W24" i="7"/>
  <c r="U25" i="7"/>
  <c r="U24" i="7"/>
  <c r="S25" i="7"/>
  <c r="S24" i="7"/>
  <c r="Q25" i="7"/>
  <c r="Q24" i="7"/>
  <c r="Y23" i="7"/>
  <c r="W23" i="7"/>
  <c r="U23" i="7"/>
  <c r="S23" i="7"/>
  <c r="Q23" i="7"/>
  <c r="O45" i="3" l="1"/>
  <c r="W26" i="7"/>
  <c r="K45" i="3"/>
  <c r="M64" i="12"/>
  <c r="M65" i="12"/>
  <c r="M66" i="12"/>
  <c r="M67" i="12"/>
  <c r="N25" i="29" l="1"/>
  <c r="AA138" i="7"/>
  <c r="AB138" i="7"/>
  <c r="AB135" i="7"/>
  <c r="AA135" i="7"/>
  <c r="AA137" i="7"/>
  <c r="AB137" i="7"/>
  <c r="F154" i="7"/>
  <c r="AB136" i="7"/>
  <c r="AA136" i="7"/>
  <c r="AA143" i="7"/>
  <c r="AB143" i="7"/>
  <c r="E64" i="12" l="1"/>
  <c r="E66" i="12"/>
  <c r="E65" i="12"/>
  <c r="E67" i="12"/>
  <c r="AL33" i="37"/>
  <c r="AL6" i="37"/>
  <c r="AO10" i="37"/>
  <c r="AO11" i="37"/>
  <c r="AQ11" i="37" s="1"/>
  <c r="AO5" i="37"/>
  <c r="AO4" i="37"/>
  <c r="AL36" i="29"/>
  <c r="AN34" i="29"/>
  <c r="AO34" i="29"/>
  <c r="AQ34" i="29" s="1"/>
  <c r="AK34" i="29"/>
  <c r="AH34" i="29"/>
  <c r="AE34" i="29"/>
  <c r="AB34" i="29"/>
  <c r="Y34" i="29"/>
  <c r="V34" i="29"/>
  <c r="S34" i="29"/>
  <c r="P34" i="29"/>
  <c r="M34" i="29"/>
  <c r="J34" i="29"/>
  <c r="G34" i="29"/>
  <c r="AL29" i="29"/>
  <c r="AL28" i="29"/>
  <c r="AO48" i="29"/>
  <c r="AO47" i="29"/>
  <c r="AO38" i="29"/>
  <c r="AO37" i="29"/>
  <c r="AO27" i="29"/>
  <c r="AO31" i="29"/>
  <c r="AO22" i="29"/>
  <c r="AO18" i="29"/>
  <c r="AO19" i="29"/>
  <c r="AO17" i="29"/>
  <c r="AO14" i="29"/>
  <c r="AO15" i="29"/>
  <c r="AO13" i="29"/>
  <c r="AO11" i="29"/>
  <c r="AO5" i="29"/>
  <c r="AO4" i="29"/>
  <c r="AU262" i="7" l="1"/>
  <c r="AQ262" i="7"/>
  <c r="AF33" i="37" l="1"/>
  <c r="AM262" i="7" l="1"/>
  <c r="R262" i="7" l="1"/>
  <c r="N8" i="29"/>
  <c r="R23" i="7" l="1"/>
  <c r="T23" i="7"/>
  <c r="V23" i="7"/>
  <c r="X23" i="7"/>
  <c r="Z23" i="7"/>
  <c r="R24" i="7"/>
  <c r="T24" i="7"/>
  <c r="X24" i="7"/>
  <c r="Z154" i="7"/>
  <c r="H15" i="16"/>
  <c r="M15" i="16"/>
  <c r="L15" i="16"/>
  <c r="K15" i="16"/>
  <c r="J15" i="16"/>
  <c r="I15" i="16"/>
  <c r="G15" i="16"/>
  <c r="F15" i="16"/>
  <c r="E15" i="16"/>
  <c r="D15" i="16"/>
  <c r="C15" i="16"/>
  <c r="M14" i="16"/>
  <c r="L14" i="16"/>
  <c r="K14" i="16"/>
  <c r="J14" i="16"/>
  <c r="I14" i="16"/>
  <c r="H14" i="16"/>
  <c r="G14" i="16"/>
  <c r="F14" i="16"/>
  <c r="E14" i="16"/>
  <c r="D14" i="16"/>
  <c r="C14" i="16"/>
  <c r="I8" i="16"/>
  <c r="Q154" i="7"/>
  <c r="M8" i="16"/>
  <c r="L8" i="16"/>
  <c r="K8" i="16"/>
  <c r="J8" i="16"/>
  <c r="H8" i="16"/>
  <c r="G8" i="16"/>
  <c r="F8" i="16"/>
  <c r="E8" i="16"/>
  <c r="D8" i="16"/>
  <c r="C8" i="16"/>
  <c r="M7" i="16"/>
  <c r="L7" i="16"/>
  <c r="K7" i="16"/>
  <c r="J7" i="16"/>
  <c r="I7" i="16"/>
  <c r="H7" i="16"/>
  <c r="G7" i="16"/>
  <c r="F7" i="16"/>
  <c r="E7" i="16"/>
  <c r="D7" i="16"/>
  <c r="C7" i="16"/>
  <c r="B7" i="16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8" i="11"/>
  <c r="Y69" i="11"/>
  <c r="Y70" i="11"/>
  <c r="Y71" i="11"/>
  <c r="Y72" i="11"/>
  <c r="Y73" i="11"/>
  <c r="Y74" i="11"/>
  <c r="Y75" i="11"/>
  <c r="Y76" i="11"/>
  <c r="Y77" i="11"/>
  <c r="Y78" i="11"/>
  <c r="Y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8" i="11"/>
  <c r="X69" i="11"/>
  <c r="X70" i="11"/>
  <c r="X71" i="11"/>
  <c r="X72" i="11"/>
  <c r="X73" i="11"/>
  <c r="X74" i="11"/>
  <c r="X75" i="11"/>
  <c r="X76" i="11"/>
  <c r="X77" i="11"/>
  <c r="X78" i="11"/>
  <c r="X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8" i="11"/>
  <c r="W69" i="11"/>
  <c r="W70" i="11"/>
  <c r="W71" i="11"/>
  <c r="W72" i="11"/>
  <c r="W73" i="11"/>
  <c r="W74" i="11"/>
  <c r="W75" i="11"/>
  <c r="W76" i="11"/>
  <c r="W77" i="11"/>
  <c r="W78" i="11"/>
  <c r="W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8" i="11"/>
  <c r="V69" i="11"/>
  <c r="V70" i="11"/>
  <c r="V71" i="11"/>
  <c r="V72" i="11"/>
  <c r="V73" i="11"/>
  <c r="V74" i="11"/>
  <c r="V75" i="11"/>
  <c r="V76" i="11"/>
  <c r="V77" i="11"/>
  <c r="V78" i="11"/>
  <c r="V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8" i="11"/>
  <c r="U69" i="11"/>
  <c r="U70" i="11"/>
  <c r="U71" i="11"/>
  <c r="U72" i="11"/>
  <c r="U73" i="11"/>
  <c r="U74" i="11"/>
  <c r="U75" i="11"/>
  <c r="U76" i="11"/>
  <c r="U77" i="11"/>
  <c r="U78" i="11"/>
  <c r="U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8" i="11"/>
  <c r="T69" i="11"/>
  <c r="T70" i="11"/>
  <c r="T71" i="11"/>
  <c r="T72" i="11"/>
  <c r="T73" i="11"/>
  <c r="T74" i="11"/>
  <c r="T75" i="11"/>
  <c r="T76" i="11"/>
  <c r="T77" i="11"/>
  <c r="T78" i="11"/>
  <c r="T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8" i="11"/>
  <c r="S69" i="11"/>
  <c r="S70" i="11"/>
  <c r="S71" i="11"/>
  <c r="S72" i="11"/>
  <c r="S73" i="11"/>
  <c r="S74" i="11"/>
  <c r="S75" i="11"/>
  <c r="S76" i="11"/>
  <c r="S77" i="11"/>
  <c r="S78" i="11"/>
  <c r="S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8" i="11"/>
  <c r="R69" i="11"/>
  <c r="R70" i="11"/>
  <c r="R71" i="11"/>
  <c r="R72" i="11"/>
  <c r="R73" i="11"/>
  <c r="R74" i="11"/>
  <c r="R75" i="11"/>
  <c r="R76" i="11"/>
  <c r="R77" i="11"/>
  <c r="R78" i="11"/>
  <c r="R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8" i="11"/>
  <c r="Q69" i="11"/>
  <c r="Q70" i="11"/>
  <c r="Q71" i="11"/>
  <c r="Q72" i="11"/>
  <c r="Q73" i="11"/>
  <c r="Q74" i="11"/>
  <c r="Q75" i="11"/>
  <c r="Q76" i="11"/>
  <c r="Q77" i="11"/>
  <c r="Q78" i="11"/>
  <c r="Q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8" i="11"/>
  <c r="P69" i="11"/>
  <c r="P70" i="11"/>
  <c r="P71" i="11"/>
  <c r="P72" i="11"/>
  <c r="P73" i="11"/>
  <c r="P74" i="11"/>
  <c r="P75" i="11"/>
  <c r="P76" i="11"/>
  <c r="P77" i="11"/>
  <c r="P78" i="11"/>
  <c r="P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8" i="11"/>
  <c r="O69" i="11"/>
  <c r="O70" i="11"/>
  <c r="O71" i="11"/>
  <c r="O72" i="11"/>
  <c r="O73" i="11"/>
  <c r="O74" i="11"/>
  <c r="O75" i="11"/>
  <c r="O76" i="11"/>
  <c r="O77" i="11"/>
  <c r="O78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8" i="11"/>
  <c r="N69" i="11"/>
  <c r="N70" i="11"/>
  <c r="N71" i="11"/>
  <c r="N72" i="11"/>
  <c r="N73" i="11"/>
  <c r="N74" i="11"/>
  <c r="N75" i="11"/>
  <c r="N76" i="11"/>
  <c r="N77" i="11"/>
  <c r="N78" i="11"/>
  <c r="N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8" i="11"/>
  <c r="M69" i="11"/>
  <c r="M70" i="11"/>
  <c r="M71" i="11"/>
  <c r="M72" i="11"/>
  <c r="M73" i="11"/>
  <c r="M74" i="11"/>
  <c r="M75" i="11"/>
  <c r="M76" i="11"/>
  <c r="M77" i="11"/>
  <c r="M78" i="11"/>
  <c r="M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8" i="11"/>
  <c r="L69" i="11"/>
  <c r="L70" i="11"/>
  <c r="L71" i="11"/>
  <c r="L72" i="11"/>
  <c r="L73" i="11"/>
  <c r="L74" i="11"/>
  <c r="L75" i="11"/>
  <c r="L76" i="11"/>
  <c r="L77" i="11"/>
  <c r="L78" i="11"/>
  <c r="L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8" i="11"/>
  <c r="K69" i="11"/>
  <c r="K70" i="11"/>
  <c r="K71" i="11"/>
  <c r="K72" i="11"/>
  <c r="K73" i="11"/>
  <c r="K74" i="11"/>
  <c r="K75" i="11"/>
  <c r="K76" i="11"/>
  <c r="K77" i="11"/>
  <c r="K78" i="11"/>
  <c r="K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8" i="11"/>
  <c r="J69" i="11"/>
  <c r="J70" i="11"/>
  <c r="J71" i="11"/>
  <c r="J72" i="11"/>
  <c r="J73" i="11"/>
  <c r="J74" i="11"/>
  <c r="J75" i="11"/>
  <c r="J76" i="11"/>
  <c r="J77" i="11"/>
  <c r="J78" i="11"/>
  <c r="J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8" i="11"/>
  <c r="I69" i="11"/>
  <c r="I70" i="11"/>
  <c r="I71" i="11"/>
  <c r="I72" i="11"/>
  <c r="I73" i="11"/>
  <c r="I74" i="11"/>
  <c r="I75" i="11"/>
  <c r="I76" i="11"/>
  <c r="I77" i="11"/>
  <c r="I78" i="11"/>
  <c r="I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8" i="11"/>
  <c r="H69" i="11"/>
  <c r="H70" i="11"/>
  <c r="H71" i="11"/>
  <c r="H72" i="11"/>
  <c r="H73" i="11"/>
  <c r="H74" i="11"/>
  <c r="H75" i="11"/>
  <c r="H76" i="11"/>
  <c r="H77" i="11"/>
  <c r="H78" i="11"/>
  <c r="H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8" i="11"/>
  <c r="G69" i="11"/>
  <c r="G70" i="11"/>
  <c r="G71" i="11"/>
  <c r="G72" i="11"/>
  <c r="G73" i="11"/>
  <c r="G74" i="11"/>
  <c r="G75" i="11"/>
  <c r="G76" i="11"/>
  <c r="G77" i="11"/>
  <c r="G78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8" i="11"/>
  <c r="F69" i="11"/>
  <c r="F70" i="11"/>
  <c r="F71" i="11"/>
  <c r="F72" i="11"/>
  <c r="F73" i="11"/>
  <c r="F74" i="11"/>
  <c r="F75" i="11"/>
  <c r="F76" i="11"/>
  <c r="F77" i="11"/>
  <c r="F78" i="11"/>
  <c r="F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8" i="11"/>
  <c r="E69" i="11"/>
  <c r="E70" i="11"/>
  <c r="E71" i="11"/>
  <c r="E72" i="11"/>
  <c r="E73" i="11"/>
  <c r="E74" i="11"/>
  <c r="E75" i="11"/>
  <c r="E76" i="11"/>
  <c r="E77" i="11"/>
  <c r="E78" i="11"/>
  <c r="E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8" i="11"/>
  <c r="D69" i="11"/>
  <c r="D70" i="11"/>
  <c r="D71" i="11"/>
  <c r="D72" i="11"/>
  <c r="D73" i="11"/>
  <c r="D74" i="11"/>
  <c r="D75" i="11"/>
  <c r="D76" i="11"/>
  <c r="D77" i="11"/>
  <c r="D78" i="11"/>
  <c r="D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8" i="11"/>
  <c r="C69" i="11"/>
  <c r="C70" i="11"/>
  <c r="C71" i="11"/>
  <c r="C72" i="11"/>
  <c r="C73" i="11"/>
  <c r="C74" i="11"/>
  <c r="C75" i="11"/>
  <c r="C76" i="11"/>
  <c r="C77" i="11"/>
  <c r="C78" i="11"/>
  <c r="C10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8" i="11"/>
  <c r="B69" i="11"/>
  <c r="B70" i="11"/>
  <c r="B71" i="11"/>
  <c r="B72" i="11"/>
  <c r="B73" i="11"/>
  <c r="B74" i="11"/>
  <c r="B75" i="11"/>
  <c r="B76" i="11"/>
  <c r="B77" i="11"/>
  <c r="B78" i="11"/>
  <c r="B11" i="11"/>
  <c r="B10" i="11"/>
  <c r="AB134" i="7"/>
  <c r="AB133" i="7"/>
  <c r="AA134" i="7"/>
  <c r="AA133" i="7"/>
  <c r="AA132" i="7"/>
  <c r="AB132" i="7"/>
  <c r="AA222" i="7"/>
  <c r="Z222" i="7"/>
  <c r="Z224" i="7" s="1"/>
  <c r="T18" i="10"/>
  <c r="T17" i="10"/>
  <c r="T16" i="10"/>
  <c r="T15" i="10"/>
  <c r="T14" i="10"/>
  <c r="T13" i="10"/>
  <c r="T12" i="10"/>
  <c r="T11" i="10"/>
  <c r="T10" i="10"/>
  <c r="T9" i="10"/>
  <c r="T8" i="10"/>
  <c r="O15" i="10"/>
  <c r="O14" i="10"/>
  <c r="O13" i="10"/>
  <c r="O12" i="10"/>
  <c r="O11" i="10"/>
  <c r="O10" i="10"/>
  <c r="O9" i="10"/>
  <c r="O8" i="10"/>
  <c r="O7" i="10"/>
  <c r="C33" i="9"/>
  <c r="C32" i="9"/>
  <c r="C31" i="9"/>
  <c r="C30" i="9"/>
  <c r="C29" i="9"/>
  <c r="C28" i="9"/>
  <c r="C27" i="9"/>
  <c r="C26" i="9"/>
  <c r="C25" i="9"/>
  <c r="C24" i="9"/>
  <c r="C23" i="9"/>
  <c r="C22" i="9"/>
  <c r="G17" i="9"/>
  <c r="G16" i="9"/>
  <c r="G15" i="9"/>
  <c r="G14" i="9"/>
  <c r="G13" i="9"/>
  <c r="G12" i="9"/>
  <c r="G11" i="9"/>
  <c r="G10" i="9"/>
  <c r="G9" i="9"/>
  <c r="G8" i="9"/>
  <c r="G7" i="9"/>
  <c r="G6" i="9"/>
  <c r="C33" i="40"/>
  <c r="C32" i="40"/>
  <c r="C31" i="40"/>
  <c r="C30" i="40"/>
  <c r="C29" i="40"/>
  <c r="C28" i="40"/>
  <c r="C27" i="40"/>
  <c r="C26" i="40"/>
  <c r="C25" i="40"/>
  <c r="C24" i="40"/>
  <c r="C23" i="40"/>
  <c r="C22" i="40"/>
  <c r="G17" i="40"/>
  <c r="G16" i="40"/>
  <c r="G15" i="40"/>
  <c r="G14" i="40"/>
  <c r="G13" i="40"/>
  <c r="G12" i="40"/>
  <c r="G11" i="40"/>
  <c r="G10" i="40"/>
  <c r="G9" i="40"/>
  <c r="G8" i="40"/>
  <c r="G7" i="40"/>
  <c r="G6" i="40"/>
  <c r="T18" i="39"/>
  <c r="O18" i="39"/>
  <c r="M18" i="39"/>
  <c r="T17" i="39"/>
  <c r="O17" i="39"/>
  <c r="M17" i="39"/>
  <c r="T16" i="39"/>
  <c r="O16" i="39"/>
  <c r="M16" i="39"/>
  <c r="T15" i="39"/>
  <c r="O15" i="39"/>
  <c r="M15" i="39"/>
  <c r="T14" i="39"/>
  <c r="O14" i="39"/>
  <c r="M14" i="39"/>
  <c r="T13" i="39"/>
  <c r="O13" i="39"/>
  <c r="M13" i="39"/>
  <c r="T12" i="39"/>
  <c r="O12" i="39"/>
  <c r="M12" i="39"/>
  <c r="T11" i="39"/>
  <c r="O11" i="39"/>
  <c r="M11" i="39"/>
  <c r="T10" i="39"/>
  <c r="O10" i="39"/>
  <c r="M10" i="39"/>
  <c r="T9" i="39"/>
  <c r="O9" i="39"/>
  <c r="M9" i="39"/>
  <c r="T8" i="39"/>
  <c r="O8" i="39"/>
  <c r="M8" i="39"/>
  <c r="T7" i="39"/>
  <c r="O7" i="39"/>
  <c r="M7" i="39"/>
  <c r="P24" i="7"/>
  <c r="P25" i="7"/>
  <c r="R25" i="7"/>
  <c r="T25" i="7"/>
  <c r="X25" i="7"/>
  <c r="F19" i="5"/>
  <c r="G19" i="40" l="1"/>
  <c r="B13" i="16"/>
  <c r="B16" i="16"/>
  <c r="B18" i="16" s="1"/>
  <c r="G19" i="9"/>
  <c r="G17" i="16"/>
  <c r="AA224" i="7"/>
  <c r="J7" i="28" s="1"/>
  <c r="J6" i="28"/>
  <c r="E17" i="16"/>
  <c r="C17" i="16"/>
  <c r="L79" i="11"/>
  <c r="Y64" i="12"/>
  <c r="Y66" i="12"/>
  <c r="Y65" i="12"/>
  <c r="Y67" i="12"/>
  <c r="V79" i="11"/>
  <c r="U64" i="12"/>
  <c r="U66" i="12"/>
  <c r="U65" i="12"/>
  <c r="U67" i="12"/>
  <c r="P64" i="12"/>
  <c r="P65" i="12"/>
  <c r="P66" i="12"/>
  <c r="P67" i="12"/>
  <c r="H16" i="16"/>
  <c r="Q79" i="11"/>
  <c r="X79" i="11"/>
  <c r="E79" i="11"/>
  <c r="N79" i="11"/>
  <c r="R79" i="11"/>
  <c r="I16" i="16"/>
  <c r="D17" i="16"/>
  <c r="F17" i="16"/>
  <c r="K17" i="16"/>
  <c r="G16" i="16"/>
  <c r="M17" i="16"/>
  <c r="L17" i="16"/>
  <c r="J17" i="16"/>
  <c r="I17" i="16"/>
  <c r="J79" i="11"/>
  <c r="F16" i="16"/>
  <c r="F18" i="16" s="1"/>
  <c r="H79" i="11"/>
  <c r="E16" i="16"/>
  <c r="D16" i="16"/>
  <c r="D18" i="16" s="1"/>
  <c r="C79" i="11"/>
  <c r="T79" i="11"/>
  <c r="C16" i="16"/>
  <c r="C18" i="16" s="1"/>
  <c r="B79" i="11"/>
  <c r="I79" i="11"/>
  <c r="S79" i="11"/>
  <c r="W79" i="11"/>
  <c r="D79" i="11"/>
  <c r="F79" i="11"/>
  <c r="M79" i="11"/>
  <c r="O79" i="11"/>
  <c r="Z77" i="11"/>
  <c r="Z75" i="11"/>
  <c r="Z73" i="11"/>
  <c r="Z71" i="11"/>
  <c r="Z69" i="11"/>
  <c r="Z63" i="11"/>
  <c r="Z61" i="11"/>
  <c r="Z59" i="11"/>
  <c r="Z57" i="11"/>
  <c r="Z55" i="11"/>
  <c r="Z53" i="11"/>
  <c r="Z51" i="11"/>
  <c r="Z49" i="11"/>
  <c r="Z47" i="11"/>
  <c r="Z45" i="11"/>
  <c r="Z43" i="11"/>
  <c r="Z41" i="11"/>
  <c r="Z39" i="11"/>
  <c r="Z37" i="11"/>
  <c r="Z35" i="11"/>
  <c r="Z33" i="11"/>
  <c r="Z31" i="11"/>
  <c r="Z29" i="11"/>
  <c r="Z27" i="11"/>
  <c r="Z25" i="11"/>
  <c r="Z23" i="11"/>
  <c r="Z21" i="11"/>
  <c r="Z19" i="11"/>
  <c r="Z15" i="11"/>
  <c r="Z13" i="11"/>
  <c r="Z11" i="11"/>
  <c r="AA26" i="11"/>
  <c r="Z17" i="11"/>
  <c r="AA78" i="11"/>
  <c r="AA76" i="11"/>
  <c r="AA74" i="11"/>
  <c r="AA72" i="11"/>
  <c r="AA70" i="11"/>
  <c r="AA68" i="11"/>
  <c r="AA62" i="11"/>
  <c r="AA60" i="11"/>
  <c r="AA58" i="11"/>
  <c r="AA56" i="11"/>
  <c r="AA54" i="11"/>
  <c r="AA52" i="11"/>
  <c r="AA50" i="11"/>
  <c r="AA48" i="11"/>
  <c r="AA46" i="11"/>
  <c r="AA44" i="11"/>
  <c r="AA42" i="11"/>
  <c r="AA40" i="11"/>
  <c r="AA38" i="11"/>
  <c r="AA36" i="11"/>
  <c r="AA34" i="11"/>
  <c r="AA32" i="11"/>
  <c r="AA30" i="11"/>
  <c r="AA28" i="11"/>
  <c r="AA24" i="11"/>
  <c r="AA22" i="11"/>
  <c r="AA20" i="11"/>
  <c r="AA18" i="11"/>
  <c r="AA16" i="11"/>
  <c r="AA14" i="11"/>
  <c r="AA12" i="11"/>
  <c r="Y79" i="11"/>
  <c r="N8" i="39"/>
  <c r="N10" i="39"/>
  <c r="N12" i="39"/>
  <c r="K79" i="11"/>
  <c r="Z78" i="11"/>
  <c r="Z76" i="11"/>
  <c r="Z74" i="11"/>
  <c r="Z72" i="11"/>
  <c r="Z70" i="11"/>
  <c r="Z68" i="11"/>
  <c r="Z62" i="11"/>
  <c r="Z60" i="11"/>
  <c r="Z58" i="11"/>
  <c r="Z56" i="11"/>
  <c r="Z54" i="11"/>
  <c r="Z52" i="11"/>
  <c r="Z50" i="11"/>
  <c r="Z48" i="11"/>
  <c r="Z46" i="11"/>
  <c r="Z44" i="11"/>
  <c r="Z42" i="11"/>
  <c r="Z40" i="11"/>
  <c r="Z36" i="11"/>
  <c r="Z34" i="11"/>
  <c r="Z32" i="11"/>
  <c r="Z30" i="11"/>
  <c r="Z28" i="11"/>
  <c r="Z26" i="11"/>
  <c r="Z24" i="11"/>
  <c r="Z22" i="11"/>
  <c r="Z20" i="11"/>
  <c r="Z18" i="11"/>
  <c r="Z16" i="11"/>
  <c r="Z14" i="11"/>
  <c r="Z12" i="11"/>
  <c r="Z38" i="11"/>
  <c r="AA77" i="11"/>
  <c r="AA75" i="11"/>
  <c r="AA73" i="11"/>
  <c r="AA71" i="11"/>
  <c r="AA69" i="11"/>
  <c r="AA63" i="11"/>
  <c r="AA61" i="11"/>
  <c r="AA59" i="11"/>
  <c r="AA57" i="11"/>
  <c r="AA53" i="11"/>
  <c r="AA51" i="11"/>
  <c r="AA49" i="11"/>
  <c r="AA47" i="11"/>
  <c r="AA45" i="11"/>
  <c r="AA43" i="11"/>
  <c r="AA41" i="11"/>
  <c r="AA39" i="11"/>
  <c r="AA37" i="11"/>
  <c r="AA35" i="11"/>
  <c r="AA33" i="11"/>
  <c r="AA31" i="11"/>
  <c r="AA29" i="11"/>
  <c r="AA27" i="11"/>
  <c r="AA25" i="11"/>
  <c r="AA23" i="11"/>
  <c r="AA21" i="11"/>
  <c r="AA19" i="11"/>
  <c r="AA17" i="11"/>
  <c r="AA15" i="11"/>
  <c r="AA13" i="11"/>
  <c r="AA11" i="11"/>
  <c r="M16" i="16"/>
  <c r="M18" i="16" s="1"/>
  <c r="L16" i="16"/>
  <c r="L18" i="16" s="1"/>
  <c r="U79" i="11"/>
  <c r="AA55" i="11"/>
  <c r="K16" i="16"/>
  <c r="K18" i="16" s="1"/>
  <c r="J16" i="16"/>
  <c r="N18" i="39"/>
  <c r="N16" i="39"/>
  <c r="N15" i="16"/>
  <c r="N14" i="39"/>
  <c r="H17" i="16"/>
  <c r="N8" i="16"/>
  <c r="P79" i="11"/>
  <c r="Z10" i="11"/>
  <c r="AC230" i="7"/>
  <c r="G10" i="38" s="1"/>
  <c r="AC233" i="7"/>
  <c r="G11" i="38" s="1"/>
  <c r="AC229" i="7"/>
  <c r="G9" i="38" s="1"/>
  <c r="N7" i="39"/>
  <c r="N9" i="39"/>
  <c r="N11" i="39"/>
  <c r="N13" i="39"/>
  <c r="N15" i="39"/>
  <c r="N17" i="39"/>
  <c r="M19" i="39"/>
  <c r="O21" i="39"/>
  <c r="AA69" i="31"/>
  <c r="Y69" i="31"/>
  <c r="W69" i="31"/>
  <c r="U69" i="31"/>
  <c r="S69" i="31"/>
  <c r="Q69" i="31"/>
  <c r="O69" i="31"/>
  <c r="M69" i="31"/>
  <c r="K69" i="31"/>
  <c r="I69" i="31"/>
  <c r="G69" i="31"/>
  <c r="E69" i="31"/>
  <c r="AA68" i="31"/>
  <c r="Y68" i="31"/>
  <c r="W68" i="31"/>
  <c r="U68" i="31"/>
  <c r="S68" i="31"/>
  <c r="Q68" i="31"/>
  <c r="O68" i="31"/>
  <c r="M68" i="31"/>
  <c r="K68" i="31"/>
  <c r="I68" i="31"/>
  <c r="G68" i="31"/>
  <c r="E68" i="31"/>
  <c r="AA67" i="31"/>
  <c r="Y67" i="31"/>
  <c r="W67" i="31"/>
  <c r="U67" i="31"/>
  <c r="S67" i="31"/>
  <c r="Q67" i="31"/>
  <c r="O67" i="31"/>
  <c r="M67" i="31"/>
  <c r="K67" i="31"/>
  <c r="I67" i="31"/>
  <c r="G67" i="31"/>
  <c r="E67" i="31"/>
  <c r="E39" i="31"/>
  <c r="G39" i="31"/>
  <c r="I39" i="31"/>
  <c r="K39" i="31"/>
  <c r="M39" i="31"/>
  <c r="O39" i="31"/>
  <c r="Q39" i="31"/>
  <c r="S39" i="31"/>
  <c r="U39" i="31"/>
  <c r="W39" i="31"/>
  <c r="Y39" i="31"/>
  <c r="AA39" i="31"/>
  <c r="E38" i="31"/>
  <c r="G38" i="31"/>
  <c r="I38" i="31"/>
  <c r="K38" i="31"/>
  <c r="M38" i="31"/>
  <c r="O38" i="31"/>
  <c r="Q38" i="31"/>
  <c r="S38" i="31"/>
  <c r="U38" i="31"/>
  <c r="W38" i="31"/>
  <c r="Y38" i="31"/>
  <c r="AA38" i="31"/>
  <c r="E37" i="31"/>
  <c r="G37" i="31"/>
  <c r="I37" i="31"/>
  <c r="K37" i="31"/>
  <c r="M37" i="31"/>
  <c r="O37" i="31"/>
  <c r="Q37" i="31"/>
  <c r="S37" i="31"/>
  <c r="U37" i="31"/>
  <c r="W37" i="31"/>
  <c r="Y37" i="31"/>
  <c r="AA37" i="31"/>
  <c r="AA14" i="31"/>
  <c r="Y14" i="31"/>
  <c r="W14" i="31"/>
  <c r="U14" i="31"/>
  <c r="S14" i="31"/>
  <c r="Q14" i="31"/>
  <c r="O14" i="31"/>
  <c r="M14" i="31"/>
  <c r="K14" i="31"/>
  <c r="I14" i="31"/>
  <c r="G14" i="31"/>
  <c r="E14" i="31"/>
  <c r="AB89" i="31"/>
  <c r="Z89" i="31"/>
  <c r="X89" i="31"/>
  <c r="V89" i="31"/>
  <c r="T89" i="31"/>
  <c r="R89" i="31"/>
  <c r="P89" i="31"/>
  <c r="N89" i="31"/>
  <c r="L89" i="31"/>
  <c r="J89" i="31"/>
  <c r="H89" i="31"/>
  <c r="F89" i="31"/>
  <c r="AA81" i="31"/>
  <c r="Y81" i="31"/>
  <c r="W81" i="31"/>
  <c r="U81" i="31"/>
  <c r="S81" i="31"/>
  <c r="Q81" i="31"/>
  <c r="O81" i="31"/>
  <c r="M81" i="31"/>
  <c r="K81" i="31"/>
  <c r="I81" i="31"/>
  <c r="G81" i="31"/>
  <c r="E81" i="31"/>
  <c r="AA80" i="31"/>
  <c r="Y80" i="31"/>
  <c r="W80" i="31"/>
  <c r="U80" i="31"/>
  <c r="S80" i="31"/>
  <c r="Q80" i="31"/>
  <c r="O80" i="31"/>
  <c r="M80" i="31"/>
  <c r="K80" i="31"/>
  <c r="I80" i="31"/>
  <c r="G80" i="31"/>
  <c r="E80" i="31"/>
  <c r="AA79" i="31"/>
  <c r="Y79" i="31"/>
  <c r="W79" i="31"/>
  <c r="U79" i="31"/>
  <c r="S79" i="31"/>
  <c r="Q79" i="31"/>
  <c r="O79" i="31"/>
  <c r="M79" i="31"/>
  <c r="K79" i="31"/>
  <c r="I79" i="31"/>
  <c r="G79" i="31"/>
  <c r="E79" i="31"/>
  <c r="AA78" i="31"/>
  <c r="Y78" i="31"/>
  <c r="W78" i="31"/>
  <c r="U78" i="31"/>
  <c r="S78" i="31"/>
  <c r="Q78" i="31"/>
  <c r="O78" i="31"/>
  <c r="M78" i="31"/>
  <c r="K78" i="31"/>
  <c r="I78" i="31"/>
  <c r="G78" i="31"/>
  <c r="E78" i="31"/>
  <c r="AA77" i="31"/>
  <c r="Y77" i="31"/>
  <c r="W77" i="31"/>
  <c r="U77" i="31"/>
  <c r="S77" i="31"/>
  <c r="Q77" i="31"/>
  <c r="O77" i="31"/>
  <c r="M77" i="31"/>
  <c r="K77" i="31"/>
  <c r="I77" i="31"/>
  <c r="G77" i="31"/>
  <c r="E77" i="31"/>
  <c r="AA76" i="31"/>
  <c r="Y76" i="31"/>
  <c r="W76" i="31"/>
  <c r="U76" i="31"/>
  <c r="S76" i="31"/>
  <c r="Q76" i="31"/>
  <c r="O76" i="31"/>
  <c r="M76" i="31"/>
  <c r="K76" i="31"/>
  <c r="I76" i="31"/>
  <c r="G76" i="31"/>
  <c r="E76" i="31"/>
  <c r="AA75" i="31"/>
  <c r="Y75" i="31"/>
  <c r="W75" i="31"/>
  <c r="U75" i="31"/>
  <c r="S75" i="31"/>
  <c r="Q75" i="31"/>
  <c r="O75" i="31"/>
  <c r="M75" i="31"/>
  <c r="K75" i="31"/>
  <c r="I75" i="31"/>
  <c r="G75" i="31"/>
  <c r="E75" i="31"/>
  <c r="AA74" i="31"/>
  <c r="Y74" i="31"/>
  <c r="W74" i="31"/>
  <c r="U74" i="31"/>
  <c r="S74" i="31"/>
  <c r="Q74" i="31"/>
  <c r="O74" i="31"/>
  <c r="M74" i="31"/>
  <c r="K74" i="31"/>
  <c r="I74" i="31"/>
  <c r="G74" i="31"/>
  <c r="E74" i="31"/>
  <c r="AA65" i="31"/>
  <c r="Y65" i="31"/>
  <c r="W65" i="31"/>
  <c r="U65" i="31"/>
  <c r="S65" i="31"/>
  <c r="Q65" i="31"/>
  <c r="O65" i="31"/>
  <c r="M65" i="31"/>
  <c r="K65" i="31"/>
  <c r="I65" i="31"/>
  <c r="G65" i="31"/>
  <c r="AA64" i="31"/>
  <c r="Y64" i="31"/>
  <c r="W64" i="31"/>
  <c r="U64" i="31"/>
  <c r="S64" i="31"/>
  <c r="Q64" i="31"/>
  <c r="O64" i="31"/>
  <c r="M64" i="31"/>
  <c r="K64" i="31"/>
  <c r="I64" i="31"/>
  <c r="G64" i="31"/>
  <c r="E64" i="31"/>
  <c r="AA63" i="31"/>
  <c r="Y63" i="31"/>
  <c r="W63" i="31"/>
  <c r="U63" i="31"/>
  <c r="S63" i="31"/>
  <c r="Q63" i="31"/>
  <c r="O63" i="31"/>
  <c r="M63" i="31"/>
  <c r="K63" i="31"/>
  <c r="I63" i="31"/>
  <c r="G63" i="31"/>
  <c r="AA62" i="31"/>
  <c r="Y62" i="31"/>
  <c r="W62" i="31"/>
  <c r="U62" i="31"/>
  <c r="S62" i="31"/>
  <c r="Q62" i="31"/>
  <c r="O62" i="31"/>
  <c r="M62" i="31"/>
  <c r="K62" i="31"/>
  <c r="I62" i="31"/>
  <c r="G62" i="31"/>
  <c r="E62" i="31"/>
  <c r="AA60" i="31"/>
  <c r="Y60" i="31"/>
  <c r="W60" i="31"/>
  <c r="U60" i="31"/>
  <c r="S60" i="31"/>
  <c r="Q60" i="31"/>
  <c r="O60" i="31"/>
  <c r="M60" i="31"/>
  <c r="K60" i="31"/>
  <c r="I60" i="31"/>
  <c r="G60" i="31"/>
  <c r="E60" i="31"/>
  <c r="Y56" i="31"/>
  <c r="W56" i="31"/>
  <c r="U56" i="31"/>
  <c r="Q56" i="31"/>
  <c r="O56" i="31"/>
  <c r="M56" i="31"/>
  <c r="K56" i="31"/>
  <c r="I56" i="31"/>
  <c r="G56" i="31"/>
  <c r="E56" i="31"/>
  <c r="AA36" i="31"/>
  <c r="Y36" i="31"/>
  <c r="W36" i="31"/>
  <c r="U36" i="31"/>
  <c r="S36" i="31"/>
  <c r="Q36" i="31"/>
  <c r="O36" i="31"/>
  <c r="M36" i="31"/>
  <c r="K36" i="31"/>
  <c r="I36" i="31"/>
  <c r="G36" i="31"/>
  <c r="E36" i="31"/>
  <c r="AA35" i="31"/>
  <c r="Y35" i="31"/>
  <c r="W35" i="31"/>
  <c r="U35" i="31"/>
  <c r="S35" i="31"/>
  <c r="Q35" i="31"/>
  <c r="O35" i="31"/>
  <c r="M35" i="31"/>
  <c r="K35" i="31"/>
  <c r="I35" i="31"/>
  <c r="G35" i="31"/>
  <c r="E35" i="31"/>
  <c r="AA34" i="31"/>
  <c r="Y34" i="31"/>
  <c r="W34" i="31"/>
  <c r="U34" i="31"/>
  <c r="S34" i="31"/>
  <c r="Q34" i="31"/>
  <c r="O34" i="31"/>
  <c r="M34" i="31"/>
  <c r="K34" i="31"/>
  <c r="I34" i="31"/>
  <c r="G34" i="31"/>
  <c r="E34" i="31"/>
  <c r="AA33" i="31"/>
  <c r="Y33" i="31"/>
  <c r="W33" i="31"/>
  <c r="U33" i="31"/>
  <c r="S33" i="31"/>
  <c r="Q33" i="31"/>
  <c r="O33" i="31"/>
  <c r="M33" i="31"/>
  <c r="K33" i="31"/>
  <c r="I33" i="31"/>
  <c r="G33" i="31"/>
  <c r="E33" i="31"/>
  <c r="AA32" i="31"/>
  <c r="Y32" i="31"/>
  <c r="W32" i="31"/>
  <c r="U32" i="31"/>
  <c r="S32" i="31"/>
  <c r="Q32" i="31"/>
  <c r="O32" i="31"/>
  <c r="M32" i="31"/>
  <c r="K32" i="31"/>
  <c r="I32" i="31"/>
  <c r="G32" i="31"/>
  <c r="E32" i="31"/>
  <c r="AA31" i="31"/>
  <c r="Y31" i="31"/>
  <c r="W31" i="31"/>
  <c r="U31" i="31"/>
  <c r="S31" i="31"/>
  <c r="Q31" i="31"/>
  <c r="O31" i="31"/>
  <c r="M31" i="31"/>
  <c r="K31" i="31"/>
  <c r="I31" i="31"/>
  <c r="G31" i="31"/>
  <c r="E31" i="31"/>
  <c r="AA30" i="31"/>
  <c r="Y30" i="31"/>
  <c r="W30" i="31"/>
  <c r="U30" i="31"/>
  <c r="S30" i="31"/>
  <c r="Q30" i="31"/>
  <c r="O30" i="31"/>
  <c r="M30" i="31"/>
  <c r="K30" i="31"/>
  <c r="I30" i="31"/>
  <c r="G30" i="31"/>
  <c r="E30" i="31"/>
  <c r="AA29" i="31"/>
  <c r="Y29" i="31"/>
  <c r="W29" i="31"/>
  <c r="U29" i="31"/>
  <c r="S29" i="31"/>
  <c r="Q29" i="31"/>
  <c r="O29" i="31"/>
  <c r="M29" i="31"/>
  <c r="K29" i="31"/>
  <c r="I29" i="31"/>
  <c r="G29" i="31"/>
  <c r="E29" i="31"/>
  <c r="AA28" i="31"/>
  <c r="Y28" i="31"/>
  <c r="W28" i="31"/>
  <c r="U28" i="31"/>
  <c r="S28" i="31"/>
  <c r="Q28" i="31"/>
  <c r="O28" i="31"/>
  <c r="M28" i="31"/>
  <c r="K28" i="31"/>
  <c r="I28" i="31"/>
  <c r="G28" i="31"/>
  <c r="E28" i="31"/>
  <c r="AA27" i="31"/>
  <c r="Y27" i="31"/>
  <c r="W27" i="31"/>
  <c r="U27" i="31"/>
  <c r="S27" i="31"/>
  <c r="Q27" i="31"/>
  <c r="O27" i="31"/>
  <c r="M27" i="31"/>
  <c r="K27" i="31"/>
  <c r="I27" i="31"/>
  <c r="G27" i="31"/>
  <c r="E27" i="31"/>
  <c r="AA26" i="31"/>
  <c r="Y26" i="31"/>
  <c r="W26" i="31"/>
  <c r="U26" i="31"/>
  <c r="S26" i="31"/>
  <c r="Q26" i="31"/>
  <c r="O26" i="31"/>
  <c r="M26" i="31"/>
  <c r="K26" i="31"/>
  <c r="I26" i="31"/>
  <c r="G26" i="31"/>
  <c r="E26" i="31"/>
  <c r="AA13" i="31"/>
  <c r="Y13" i="31"/>
  <c r="W13" i="31"/>
  <c r="U13" i="31"/>
  <c r="S13" i="31"/>
  <c r="Q13" i="31"/>
  <c r="O13" i="31"/>
  <c r="M13" i="31"/>
  <c r="K13" i="31"/>
  <c r="I13" i="31"/>
  <c r="G13" i="31"/>
  <c r="E13" i="31"/>
  <c r="AA12" i="31"/>
  <c r="Y12" i="31"/>
  <c r="W12" i="31"/>
  <c r="U12" i="31"/>
  <c r="S12" i="31"/>
  <c r="Q12" i="31"/>
  <c r="O12" i="31"/>
  <c r="M12" i="31"/>
  <c r="K12" i="31"/>
  <c r="I12" i="31"/>
  <c r="G12" i="31"/>
  <c r="E12" i="31"/>
  <c r="AA10" i="31"/>
  <c r="Y10" i="31"/>
  <c r="W10" i="31"/>
  <c r="U10" i="31"/>
  <c r="S10" i="31"/>
  <c r="Q10" i="31"/>
  <c r="O10" i="31"/>
  <c r="M10" i="31"/>
  <c r="K10" i="31"/>
  <c r="I10" i="31"/>
  <c r="G10" i="31"/>
  <c r="E10" i="31"/>
  <c r="AC1" i="31"/>
  <c r="AB235" i="7" l="1"/>
  <c r="AC231" i="7"/>
  <c r="G12" i="38" s="1"/>
  <c r="AC228" i="7"/>
  <c r="G8" i="38" s="1"/>
  <c r="AC232" i="7"/>
  <c r="G13" i="38" s="1"/>
  <c r="J18" i="16"/>
  <c r="G18" i="16"/>
  <c r="E18" i="16"/>
  <c r="E102" i="31"/>
  <c r="I102" i="31"/>
  <c r="M102" i="31"/>
  <c r="Q102" i="31"/>
  <c r="U102" i="31"/>
  <c r="Y102" i="31"/>
  <c r="H18" i="16"/>
  <c r="I18" i="16"/>
  <c r="G102" i="31"/>
  <c r="K102" i="31"/>
  <c r="O102" i="31"/>
  <c r="S102" i="31"/>
  <c r="W102" i="31"/>
  <c r="AA102" i="31"/>
  <c r="N17" i="16"/>
  <c r="N21" i="39"/>
  <c r="M4" i="31"/>
  <c r="E5" i="31"/>
  <c r="M6" i="31"/>
  <c r="E8" i="31"/>
  <c r="U8" i="31"/>
  <c r="E4" i="31"/>
  <c r="U4" i="31"/>
  <c r="M5" i="31"/>
  <c r="E6" i="31"/>
  <c r="U6" i="31"/>
  <c r="M8" i="31"/>
  <c r="U5" i="31"/>
  <c r="E99" i="31"/>
  <c r="I99" i="31"/>
  <c r="M99" i="31"/>
  <c r="Q99" i="31"/>
  <c r="U99" i="31"/>
  <c r="Y99" i="31"/>
  <c r="AA7" i="31"/>
  <c r="W7" i="31"/>
  <c r="S7" i="31"/>
  <c r="O7" i="31"/>
  <c r="K7" i="31"/>
  <c r="G7" i="31"/>
  <c r="AA9" i="31"/>
  <c r="W9" i="31"/>
  <c r="S9" i="31"/>
  <c r="O9" i="31"/>
  <c r="K9" i="31"/>
  <c r="E9" i="31"/>
  <c r="E11" i="31"/>
  <c r="E103" i="31" s="1"/>
  <c r="I11" i="31"/>
  <c r="I103" i="31" s="1"/>
  <c r="M11" i="31"/>
  <c r="M103" i="31" s="1"/>
  <c r="Q11" i="31"/>
  <c r="Q103" i="31" s="1"/>
  <c r="U11" i="31"/>
  <c r="U103" i="31" s="1"/>
  <c r="Y11" i="31"/>
  <c r="Y103" i="31" s="1"/>
  <c r="Y21" i="31"/>
  <c r="U21" i="31"/>
  <c r="Q21" i="31"/>
  <c r="M21" i="31"/>
  <c r="I21" i="31"/>
  <c r="G21" i="31"/>
  <c r="Y44" i="31"/>
  <c r="U44" i="31"/>
  <c r="Q44" i="31"/>
  <c r="M44" i="31"/>
  <c r="I44" i="31"/>
  <c r="E44" i="31"/>
  <c r="Y50" i="31"/>
  <c r="U50" i="31"/>
  <c r="Q50" i="31"/>
  <c r="M50" i="31"/>
  <c r="I50" i="31"/>
  <c r="E50" i="31"/>
  <c r="Y52" i="31"/>
  <c r="U52" i="31"/>
  <c r="Q52" i="31"/>
  <c r="M52" i="31"/>
  <c r="I52" i="31"/>
  <c r="G52" i="31"/>
  <c r="Y58" i="31"/>
  <c r="U58" i="31"/>
  <c r="Q58" i="31"/>
  <c r="M58" i="31"/>
  <c r="I58" i="31"/>
  <c r="E58" i="31"/>
  <c r="I4" i="31"/>
  <c r="Q4" i="31"/>
  <c r="Y4" i="31"/>
  <c r="I5" i="31"/>
  <c r="Q5" i="31"/>
  <c r="Y5" i="31"/>
  <c r="I6" i="31"/>
  <c r="Q6" i="31"/>
  <c r="Y6" i="31"/>
  <c r="I8" i="31"/>
  <c r="Q8" i="31"/>
  <c r="Y8" i="31"/>
  <c r="G99" i="31"/>
  <c r="K99" i="31"/>
  <c r="O99" i="31"/>
  <c r="S99" i="31"/>
  <c r="W99" i="31"/>
  <c r="AA99" i="31"/>
  <c r="Y7" i="31"/>
  <c r="U7" i="31"/>
  <c r="Q7" i="31"/>
  <c r="M7" i="31"/>
  <c r="I7" i="31"/>
  <c r="E7" i="31"/>
  <c r="Y9" i="31"/>
  <c r="U9" i="31"/>
  <c r="Q9" i="31"/>
  <c r="M9" i="31"/>
  <c r="G9" i="31"/>
  <c r="I9" i="31"/>
  <c r="G11" i="31"/>
  <c r="G103" i="31" s="1"/>
  <c r="K11" i="31"/>
  <c r="K103" i="31" s="1"/>
  <c r="O11" i="31"/>
  <c r="O103" i="31" s="1"/>
  <c r="S11" i="31"/>
  <c r="S103" i="31" s="1"/>
  <c r="W11" i="31"/>
  <c r="W103" i="31" s="1"/>
  <c r="AA11" i="31"/>
  <c r="AA103" i="31" s="1"/>
  <c r="AA21" i="31"/>
  <c r="W21" i="31"/>
  <c r="S21" i="31"/>
  <c r="O21" i="31"/>
  <c r="K21" i="31"/>
  <c r="E21" i="31"/>
  <c r="AA44" i="31"/>
  <c r="W44" i="31"/>
  <c r="S44" i="31"/>
  <c r="O44" i="31"/>
  <c r="K44" i="31"/>
  <c r="G44" i="31"/>
  <c r="AA50" i="31"/>
  <c r="W50" i="31"/>
  <c r="S50" i="31"/>
  <c r="O50" i="31"/>
  <c r="K50" i="31"/>
  <c r="G50" i="31"/>
  <c r="AA52" i="31"/>
  <c r="W52" i="31"/>
  <c r="S52" i="31"/>
  <c r="O52" i="31"/>
  <c r="K52" i="31"/>
  <c r="E52" i="31"/>
  <c r="AA58" i="31"/>
  <c r="W58" i="31"/>
  <c r="S58" i="31"/>
  <c r="O58" i="31"/>
  <c r="K58" i="31"/>
  <c r="G58" i="31"/>
  <c r="Z94" i="31"/>
  <c r="V94" i="31"/>
  <c r="R94" i="31"/>
  <c r="N94" i="31"/>
  <c r="J94" i="31"/>
  <c r="F94" i="31"/>
  <c r="Z93" i="31"/>
  <c r="V93" i="31"/>
  <c r="R93" i="31"/>
  <c r="N93" i="31"/>
  <c r="J93" i="31"/>
  <c r="F93" i="31"/>
  <c r="Z92" i="31"/>
  <c r="V92" i="31"/>
  <c r="R92" i="31"/>
  <c r="N92" i="31"/>
  <c r="J92" i="31"/>
  <c r="F92" i="31"/>
  <c r="Z91" i="31"/>
  <c r="V91" i="31"/>
  <c r="R91" i="31"/>
  <c r="N91" i="31"/>
  <c r="J91" i="31"/>
  <c r="F91" i="31"/>
  <c r="Z90" i="31"/>
  <c r="V90" i="31"/>
  <c r="R90" i="31"/>
  <c r="N90" i="31"/>
  <c r="J90" i="31"/>
  <c r="F90" i="31"/>
  <c r="Y88" i="31"/>
  <c r="U88" i="31"/>
  <c r="Q88" i="31"/>
  <c r="M88" i="31"/>
  <c r="I88" i="31"/>
  <c r="F88" i="31"/>
  <c r="AA87" i="31"/>
  <c r="W87" i="31"/>
  <c r="S87" i="31"/>
  <c r="O87" i="31"/>
  <c r="K87" i="31"/>
  <c r="G87" i="31"/>
  <c r="E87" i="31"/>
  <c r="Z86" i="31"/>
  <c r="V86" i="31"/>
  <c r="R86" i="31"/>
  <c r="N86" i="31"/>
  <c r="J86" i="31"/>
  <c r="F86" i="31"/>
  <c r="Y73" i="31"/>
  <c r="U73" i="31"/>
  <c r="Q73" i="31"/>
  <c r="M73" i="31"/>
  <c r="I73" i="31"/>
  <c r="E73" i="31"/>
  <c r="Y72" i="31"/>
  <c r="U72" i="31"/>
  <c r="Q72" i="31"/>
  <c r="M72" i="31"/>
  <c r="I72" i="31"/>
  <c r="E72" i="31"/>
  <c r="Y71" i="31"/>
  <c r="U71" i="31"/>
  <c r="Q71" i="31"/>
  <c r="M71" i="31"/>
  <c r="I71" i="31"/>
  <c r="E71" i="31"/>
  <c r="Y70" i="31"/>
  <c r="U70" i="31"/>
  <c r="Q70" i="31"/>
  <c r="M70" i="31"/>
  <c r="I70" i="31"/>
  <c r="E70" i="31"/>
  <c r="Y66" i="31"/>
  <c r="U66" i="31"/>
  <c r="Q66" i="31"/>
  <c r="M66" i="31"/>
  <c r="I66" i="31"/>
  <c r="E66" i="31"/>
  <c r="E65" i="31"/>
  <c r="E63" i="31"/>
  <c r="Y61" i="31"/>
  <c r="U61" i="31"/>
  <c r="Q61" i="31"/>
  <c r="M61" i="31"/>
  <c r="I61" i="31"/>
  <c r="E61" i="31"/>
  <c r="Y59" i="31"/>
  <c r="U59" i="31"/>
  <c r="Q59" i="31"/>
  <c r="M59" i="31"/>
  <c r="I59" i="31"/>
  <c r="E59" i="31"/>
  <c r="Y57" i="31"/>
  <c r="U57" i="31"/>
  <c r="Q57" i="31"/>
  <c r="M57" i="31"/>
  <c r="I57" i="31"/>
  <c r="E57" i="31"/>
  <c r="Y55" i="31"/>
  <c r="U55" i="31"/>
  <c r="Q55" i="31"/>
  <c r="M55" i="31"/>
  <c r="I55" i="31"/>
  <c r="E55" i="31"/>
  <c r="Y54" i="31"/>
  <c r="U54" i="31"/>
  <c r="Q54" i="31"/>
  <c r="M54" i="31"/>
  <c r="I54" i="31"/>
  <c r="E54" i="31"/>
  <c r="Y53" i="31"/>
  <c r="U53" i="31"/>
  <c r="Q53" i="31"/>
  <c r="M53" i="31"/>
  <c r="I53" i="31"/>
  <c r="E53" i="31"/>
  <c r="Y51" i="31"/>
  <c r="Y104" i="31" s="1"/>
  <c r="U51" i="31"/>
  <c r="U104" i="31" s="1"/>
  <c r="Q51" i="31"/>
  <c r="Q104" i="31" s="1"/>
  <c r="M51" i="31"/>
  <c r="M104" i="31" s="1"/>
  <c r="I51" i="31"/>
  <c r="I104" i="31" s="1"/>
  <c r="E51" i="31"/>
  <c r="E104" i="31" s="1"/>
  <c r="Y49" i="31"/>
  <c r="U49" i="31"/>
  <c r="Q49" i="31"/>
  <c r="M49" i="31"/>
  <c r="I49" i="31"/>
  <c r="E49" i="31"/>
  <c r="Y48" i="31"/>
  <c r="U48" i="31"/>
  <c r="Q48" i="31"/>
  <c r="M48" i="31"/>
  <c r="I48" i="31"/>
  <c r="E48" i="31"/>
  <c r="Y47" i="31"/>
  <c r="U47" i="31"/>
  <c r="Q47" i="31"/>
  <c r="M47" i="31"/>
  <c r="I47" i="31"/>
  <c r="E47" i="31"/>
  <c r="Y46" i="31"/>
  <c r="U46" i="31"/>
  <c r="Q46" i="31"/>
  <c r="M46" i="31"/>
  <c r="I46" i="31"/>
  <c r="E46" i="31"/>
  <c r="Y45" i="31"/>
  <c r="Y98" i="31" s="1"/>
  <c r="U45" i="31"/>
  <c r="U98" i="31" s="1"/>
  <c r="Q45" i="31"/>
  <c r="Q98" i="31" s="1"/>
  <c r="M45" i="31"/>
  <c r="M98" i="31" s="1"/>
  <c r="I45" i="31"/>
  <c r="I98" i="31" s="1"/>
  <c r="E45" i="31"/>
  <c r="E98" i="31" s="1"/>
  <c r="Y43" i="31"/>
  <c r="U43" i="31"/>
  <c r="Q43" i="31"/>
  <c r="M43" i="31"/>
  <c r="I43" i="31"/>
  <c r="E43" i="31"/>
  <c r="Y42" i="31"/>
  <c r="U42" i="31"/>
  <c r="Q42" i="31"/>
  <c r="M42" i="31"/>
  <c r="I42" i="31"/>
  <c r="E42" i="31"/>
  <c r="Y41" i="31"/>
  <c r="U41" i="31"/>
  <c r="Q41" i="31"/>
  <c r="M41" i="31"/>
  <c r="I41" i="31"/>
  <c r="E41" i="31"/>
  <c r="Y40" i="31"/>
  <c r="AB94" i="31"/>
  <c r="X94" i="31"/>
  <c r="T94" i="31"/>
  <c r="P94" i="31"/>
  <c r="L94" i="31"/>
  <c r="H94" i="31"/>
  <c r="AB93" i="31"/>
  <c r="X93" i="31"/>
  <c r="T93" i="31"/>
  <c r="P93" i="31"/>
  <c r="L93" i="31"/>
  <c r="H93" i="31"/>
  <c r="AB92" i="31"/>
  <c r="X92" i="31"/>
  <c r="T92" i="31"/>
  <c r="P92" i="31"/>
  <c r="L92" i="31"/>
  <c r="H92" i="31"/>
  <c r="AB91" i="31"/>
  <c r="X91" i="31"/>
  <c r="T91" i="31"/>
  <c r="P91" i="31"/>
  <c r="L91" i="31"/>
  <c r="H91" i="31"/>
  <c r="AB90" i="31"/>
  <c r="X90" i="31"/>
  <c r="T90" i="31"/>
  <c r="P90" i="31"/>
  <c r="L90" i="31"/>
  <c r="H90" i="31"/>
  <c r="AA88" i="31"/>
  <c r="W88" i="31"/>
  <c r="S88" i="31"/>
  <c r="O88" i="31"/>
  <c r="K88" i="31"/>
  <c r="G88" i="31"/>
  <c r="E88" i="31"/>
  <c r="Y87" i="31"/>
  <c r="U87" i="31"/>
  <c r="Q87" i="31"/>
  <c r="M87" i="31"/>
  <c r="I87" i="31"/>
  <c r="F87" i="31"/>
  <c r="AB86" i="31"/>
  <c r="X86" i="31"/>
  <c r="T86" i="31"/>
  <c r="P86" i="31"/>
  <c r="L86" i="31"/>
  <c r="H86" i="31"/>
  <c r="Z84" i="31"/>
  <c r="V84" i="31"/>
  <c r="R84" i="31"/>
  <c r="N84" i="31"/>
  <c r="J84" i="31"/>
  <c r="F84" i="31"/>
  <c r="Z82" i="31"/>
  <c r="V82" i="31"/>
  <c r="R82" i="31"/>
  <c r="N82" i="31"/>
  <c r="J82" i="31"/>
  <c r="F82" i="31"/>
  <c r="AA73" i="31"/>
  <c r="W73" i="31"/>
  <c r="S73" i="31"/>
  <c r="O73" i="31"/>
  <c r="K73" i="31"/>
  <c r="G73" i="31"/>
  <c r="AA72" i="31"/>
  <c r="W72" i="31"/>
  <c r="S72" i="31"/>
  <c r="O72" i="31"/>
  <c r="K72" i="31"/>
  <c r="G72" i="31"/>
  <c r="AA71" i="31"/>
  <c r="W71" i="31"/>
  <c r="S71" i="31"/>
  <c r="O71" i="31"/>
  <c r="K71" i="31"/>
  <c r="G71" i="31"/>
  <c r="AA70" i="31"/>
  <c r="W70" i="31"/>
  <c r="S70" i="31"/>
  <c r="O70" i="31"/>
  <c r="K70" i="31"/>
  <c r="G70" i="31"/>
  <c r="AA66" i="31"/>
  <c r="W66" i="31"/>
  <c r="S66" i="31"/>
  <c r="O66" i="31"/>
  <c r="K66" i="31"/>
  <c r="G66" i="31"/>
  <c r="AA61" i="31"/>
  <c r="W61" i="31"/>
  <c r="S61" i="31"/>
  <c r="O61" i="31"/>
  <c r="K61" i="31"/>
  <c r="G61" i="31"/>
  <c r="AA59" i="31"/>
  <c r="W59" i="31"/>
  <c r="S59" i="31"/>
  <c r="O59" i="31"/>
  <c r="K59" i="31"/>
  <c r="G59" i="31"/>
  <c r="AA57" i="31"/>
  <c r="W57" i="31"/>
  <c r="S57" i="31"/>
  <c r="O57" i="31"/>
  <c r="K57" i="31"/>
  <c r="G57" i="31"/>
  <c r="AA55" i="31"/>
  <c r="W55" i="31"/>
  <c r="S55" i="31"/>
  <c r="O55" i="31"/>
  <c r="K55" i="31"/>
  <c r="G55" i="31"/>
  <c r="AA54" i="31"/>
  <c r="W54" i="31"/>
  <c r="S54" i="31"/>
  <c r="O54" i="31"/>
  <c r="K54" i="31"/>
  <c r="G54" i="31"/>
  <c r="AA53" i="31"/>
  <c r="W53" i="31"/>
  <c r="S53" i="31"/>
  <c r="G4" i="31"/>
  <c r="K4" i="31"/>
  <c r="O4" i="31"/>
  <c r="S4" i="31"/>
  <c r="W4" i="31"/>
  <c r="AA4" i="31"/>
  <c r="G5" i="31"/>
  <c r="K5" i="31"/>
  <c r="O5" i="31"/>
  <c r="S5" i="31"/>
  <c r="W5" i="31"/>
  <c r="AA5" i="31"/>
  <c r="G6" i="31"/>
  <c r="G97" i="31" s="1"/>
  <c r="K6" i="31"/>
  <c r="K97" i="31" s="1"/>
  <c r="O6" i="31"/>
  <c r="O97" i="31" s="1"/>
  <c r="S6" i="31"/>
  <c r="S97" i="31" s="1"/>
  <c r="W6" i="31"/>
  <c r="W97" i="31" s="1"/>
  <c r="AA6" i="31"/>
  <c r="AA97" i="31" s="1"/>
  <c r="G8" i="31"/>
  <c r="K8" i="31"/>
  <c r="O8" i="31"/>
  <c r="S8" i="31"/>
  <c r="W8" i="31"/>
  <c r="AA8" i="31"/>
  <c r="G15" i="31"/>
  <c r="K15" i="31"/>
  <c r="O15" i="31"/>
  <c r="S15" i="31"/>
  <c r="W15" i="31"/>
  <c r="AA15" i="31"/>
  <c r="G16" i="31"/>
  <c r="K16" i="31"/>
  <c r="O16" i="31"/>
  <c r="S16" i="31"/>
  <c r="W16" i="31"/>
  <c r="AA16" i="31"/>
  <c r="G17" i="31"/>
  <c r="K17" i="31"/>
  <c r="O17" i="31"/>
  <c r="S17" i="31"/>
  <c r="W17" i="31"/>
  <c r="AA17" i="31"/>
  <c r="G18" i="31"/>
  <c r="K18" i="31"/>
  <c r="O18" i="31"/>
  <c r="S18" i="31"/>
  <c r="W18" i="31"/>
  <c r="AA18" i="31"/>
  <c r="G19" i="31"/>
  <c r="K19" i="31"/>
  <c r="O19" i="31"/>
  <c r="S19" i="31"/>
  <c r="W19" i="31"/>
  <c r="AA19" i="31"/>
  <c r="G20" i="31"/>
  <c r="K20" i="31"/>
  <c r="O20" i="31"/>
  <c r="S20" i="31"/>
  <c r="W20" i="31"/>
  <c r="AA20" i="31"/>
  <c r="G22" i="31"/>
  <c r="K22" i="31"/>
  <c r="O22" i="31"/>
  <c r="S22" i="31"/>
  <c r="W22" i="31"/>
  <c r="AA22" i="31"/>
  <c r="G23" i="31"/>
  <c r="K23" i="31"/>
  <c r="O23" i="31"/>
  <c r="S23" i="31"/>
  <c r="W23" i="31"/>
  <c r="AA23" i="31"/>
  <c r="G24" i="31"/>
  <c r="K24" i="31"/>
  <c r="O24" i="31"/>
  <c r="S24" i="31"/>
  <c r="W24" i="31"/>
  <c r="AA24" i="31"/>
  <c r="G25" i="31"/>
  <c r="K25" i="31"/>
  <c r="O25" i="31"/>
  <c r="S25" i="31"/>
  <c r="W25" i="31"/>
  <c r="AA25" i="31"/>
  <c r="G40" i="31"/>
  <c r="K40" i="31"/>
  <c r="O40" i="31"/>
  <c r="S40" i="31"/>
  <c r="W40" i="31"/>
  <c r="G41" i="31"/>
  <c r="O41" i="31"/>
  <c r="W41" i="31"/>
  <c r="G42" i="31"/>
  <c r="O42" i="31"/>
  <c r="W42" i="31"/>
  <c r="G43" i="31"/>
  <c r="O43" i="31"/>
  <c r="W43" i="31"/>
  <c r="G45" i="31"/>
  <c r="O45" i="31"/>
  <c r="W45" i="31"/>
  <c r="G46" i="31"/>
  <c r="O46" i="31"/>
  <c r="W46" i="31"/>
  <c r="G47" i="31"/>
  <c r="O47" i="31"/>
  <c r="W47" i="31"/>
  <c r="G48" i="31"/>
  <c r="O48" i="31"/>
  <c r="W48" i="31"/>
  <c r="G49" i="31"/>
  <c r="O49" i="31"/>
  <c r="W49" i="31"/>
  <c r="G51" i="31"/>
  <c r="O51" i="31"/>
  <c r="W51" i="31"/>
  <c r="W104" i="31" s="1"/>
  <c r="G53" i="31"/>
  <c r="O53" i="31"/>
  <c r="Z83" i="31"/>
  <c r="Z85" i="31"/>
  <c r="E97" i="31"/>
  <c r="I97" i="31"/>
  <c r="M97" i="31"/>
  <c r="Q97" i="31"/>
  <c r="U97" i="31"/>
  <c r="Y97" i="31"/>
  <c r="E15" i="31"/>
  <c r="I15" i="31"/>
  <c r="M15" i="31"/>
  <c r="Q15" i="31"/>
  <c r="U15" i="31"/>
  <c r="Y15" i="31"/>
  <c r="E16" i="31"/>
  <c r="I16" i="31"/>
  <c r="M16" i="31"/>
  <c r="Q16" i="31"/>
  <c r="U16" i="31"/>
  <c r="Y16" i="31"/>
  <c r="E17" i="31"/>
  <c r="I17" i="31"/>
  <c r="M17" i="31"/>
  <c r="Q17" i="31"/>
  <c r="U17" i="31"/>
  <c r="Y17" i="31"/>
  <c r="E18" i="31"/>
  <c r="I18" i="31"/>
  <c r="M18" i="31"/>
  <c r="Q18" i="31"/>
  <c r="U18" i="31"/>
  <c r="Y18" i="31"/>
  <c r="E19" i="31"/>
  <c r="I19" i="31"/>
  <c r="M19" i="31"/>
  <c r="Q19" i="31"/>
  <c r="U19" i="31"/>
  <c r="Y19" i="31"/>
  <c r="E20" i="31"/>
  <c r="I20" i="31"/>
  <c r="M20" i="31"/>
  <c r="Q20" i="31"/>
  <c r="U20" i="31"/>
  <c r="Y20" i="31"/>
  <c r="E22" i="31"/>
  <c r="I22" i="31"/>
  <c r="M22" i="31"/>
  <c r="Q22" i="31"/>
  <c r="U22" i="31"/>
  <c r="Y22" i="31"/>
  <c r="E23" i="31"/>
  <c r="I23" i="31"/>
  <c r="M23" i="31"/>
  <c r="Q23" i="31"/>
  <c r="U23" i="31"/>
  <c r="Y23" i="31"/>
  <c r="E24" i="31"/>
  <c r="I24" i="31"/>
  <c r="M24" i="31"/>
  <c r="Q24" i="31"/>
  <c r="U24" i="31"/>
  <c r="Y24" i="31"/>
  <c r="E25" i="31"/>
  <c r="I25" i="31"/>
  <c r="M25" i="31"/>
  <c r="Q25" i="31"/>
  <c r="U25" i="31"/>
  <c r="Y25" i="31"/>
  <c r="E40" i="31"/>
  <c r="I40" i="31"/>
  <c r="M40" i="31"/>
  <c r="Q40" i="31"/>
  <c r="U40" i="31"/>
  <c r="AA40" i="31"/>
  <c r="K41" i="31"/>
  <c r="S41" i="31"/>
  <c r="AA41" i="31"/>
  <c r="K42" i="31"/>
  <c r="S42" i="31"/>
  <c r="AA42" i="31"/>
  <c r="K43" i="31"/>
  <c r="S43" i="31"/>
  <c r="AA43" i="31"/>
  <c r="K45" i="31"/>
  <c r="S45" i="31"/>
  <c r="AA45" i="31"/>
  <c r="K46" i="31"/>
  <c r="S46" i="31"/>
  <c r="AA46" i="31"/>
  <c r="K47" i="31"/>
  <c r="S47" i="31"/>
  <c r="AA47" i="31"/>
  <c r="K48" i="31"/>
  <c r="S48" i="31"/>
  <c r="AA48" i="31"/>
  <c r="K49" i="31"/>
  <c r="S49" i="31"/>
  <c r="AA49" i="31"/>
  <c r="K51" i="31"/>
  <c r="S51" i="31"/>
  <c r="S104" i="31" s="1"/>
  <c r="AA51" i="31"/>
  <c r="AA104" i="31" s="1"/>
  <c r="K53" i="31"/>
  <c r="AB82" i="31"/>
  <c r="AB84" i="31"/>
  <c r="H83" i="31"/>
  <c r="L83" i="31"/>
  <c r="P83" i="31"/>
  <c r="T83" i="31"/>
  <c r="X83" i="31"/>
  <c r="AB83" i="31"/>
  <c r="H85" i="31"/>
  <c r="L85" i="31"/>
  <c r="P85" i="31"/>
  <c r="T85" i="31"/>
  <c r="X85" i="31"/>
  <c r="AB85" i="31"/>
  <c r="H82" i="31"/>
  <c r="L82" i="31"/>
  <c r="P82" i="31"/>
  <c r="T82" i="31"/>
  <c r="X82" i="31"/>
  <c r="F83" i="31"/>
  <c r="J83" i="31"/>
  <c r="N83" i="31"/>
  <c r="R83" i="31"/>
  <c r="V83" i="31"/>
  <c r="H84" i="31"/>
  <c r="L84" i="31"/>
  <c r="P84" i="31"/>
  <c r="T84" i="31"/>
  <c r="X84" i="31"/>
  <c r="F85" i="31"/>
  <c r="J85" i="31"/>
  <c r="N85" i="31"/>
  <c r="R85" i="31"/>
  <c r="V85" i="31"/>
  <c r="K101" i="31" l="1"/>
  <c r="S101" i="31"/>
  <c r="AA101" i="31"/>
  <c r="I101" i="31"/>
  <c r="Q101" i="31"/>
  <c r="Y101" i="31"/>
  <c r="G101" i="31"/>
  <c r="O101" i="31"/>
  <c r="W101" i="31"/>
  <c r="E101" i="31"/>
  <c r="M101" i="31"/>
  <c r="U101" i="31"/>
  <c r="G104" i="31"/>
  <c r="K96" i="31"/>
  <c r="AA98" i="31"/>
  <c r="W96" i="31"/>
  <c r="O96" i="31"/>
  <c r="G96" i="31"/>
  <c r="AA96" i="31"/>
  <c r="K104" i="31"/>
  <c r="S98" i="31"/>
  <c r="U100" i="31"/>
  <c r="M100" i="31"/>
  <c r="E100" i="31"/>
  <c r="O104" i="31"/>
  <c r="W98" i="31"/>
  <c r="G98" i="31"/>
  <c r="W100" i="31"/>
  <c r="O100" i="31"/>
  <c r="G100" i="31"/>
  <c r="E96" i="31"/>
  <c r="M96" i="31"/>
  <c r="U96" i="31"/>
  <c r="S96" i="31"/>
  <c r="K98" i="31"/>
  <c r="Y100" i="31"/>
  <c r="Q100" i="31"/>
  <c r="I100" i="31"/>
  <c r="O98" i="31"/>
  <c r="AA100" i="31"/>
  <c r="S100" i="31"/>
  <c r="K100" i="31"/>
  <c r="I96" i="31"/>
  <c r="Q96" i="31"/>
  <c r="Y96" i="31"/>
  <c r="M27" i="38" l="1"/>
  <c r="L27" i="38"/>
  <c r="K27" i="38"/>
  <c r="J27" i="38"/>
  <c r="I27" i="38"/>
  <c r="H27" i="38"/>
  <c r="G27" i="38"/>
  <c r="P29" i="7"/>
  <c r="P28" i="7"/>
  <c r="P27" i="7"/>
  <c r="N28" i="7"/>
  <c r="N27" i="7"/>
  <c r="N29" i="7"/>
  <c r="L28" i="7"/>
  <c r="L27" i="7"/>
  <c r="L29" i="7"/>
  <c r="J29" i="7"/>
  <c r="J28" i="7"/>
  <c r="J27" i="7"/>
  <c r="H29" i="7"/>
  <c r="H28" i="7"/>
  <c r="H27" i="7"/>
  <c r="F29" i="7"/>
  <c r="F28" i="7"/>
  <c r="F27" i="7"/>
  <c r="D28" i="7"/>
  <c r="D29" i="7"/>
  <c r="D27" i="7"/>
  <c r="O29" i="7"/>
  <c r="O28" i="7"/>
  <c r="O27" i="7"/>
  <c r="M29" i="7"/>
  <c r="M28" i="7"/>
  <c r="M27" i="7"/>
  <c r="K29" i="7"/>
  <c r="K28" i="7"/>
  <c r="K27" i="7"/>
  <c r="I29" i="7"/>
  <c r="I28" i="7"/>
  <c r="I27" i="7"/>
  <c r="G29" i="7"/>
  <c r="G28" i="7"/>
  <c r="G27" i="7"/>
  <c r="E29" i="7"/>
  <c r="E28" i="7"/>
  <c r="E27" i="7"/>
  <c r="C28" i="7"/>
  <c r="C29" i="7"/>
  <c r="C27" i="7"/>
  <c r="Z25" i="7"/>
  <c r="E17" i="40" s="1"/>
  <c r="Z24" i="7"/>
  <c r="D17" i="40" s="1"/>
  <c r="E16" i="40"/>
  <c r="D16" i="40"/>
  <c r="V25" i="7"/>
  <c r="E15" i="40" s="1"/>
  <c r="V24" i="7"/>
  <c r="D15" i="40" s="1"/>
  <c r="E14" i="40"/>
  <c r="D14" i="40"/>
  <c r="E13" i="40"/>
  <c r="D13" i="40"/>
  <c r="E12" i="40"/>
  <c r="D12" i="40"/>
  <c r="P23" i="7"/>
  <c r="N25" i="7"/>
  <c r="E11" i="40" s="1"/>
  <c r="N24" i="7"/>
  <c r="D11" i="40" s="1"/>
  <c r="N23" i="7"/>
  <c r="L25" i="7"/>
  <c r="E10" i="40" s="1"/>
  <c r="L24" i="7"/>
  <c r="D10" i="40" s="1"/>
  <c r="L23" i="7"/>
  <c r="J25" i="7"/>
  <c r="E9" i="40" s="1"/>
  <c r="J24" i="7"/>
  <c r="D9" i="40" s="1"/>
  <c r="J23" i="7"/>
  <c r="E25" i="7"/>
  <c r="E7" i="9" s="1"/>
  <c r="E24" i="7"/>
  <c r="D7" i="9" s="1"/>
  <c r="F25" i="7"/>
  <c r="E7" i="40" s="1"/>
  <c r="F24" i="7"/>
  <c r="D7" i="40" s="1"/>
  <c r="H23" i="7"/>
  <c r="H25" i="7"/>
  <c r="E8" i="40" s="1"/>
  <c r="H24" i="7"/>
  <c r="D8" i="40" s="1"/>
  <c r="F23" i="7"/>
  <c r="D25" i="7"/>
  <c r="E6" i="40" s="1"/>
  <c r="D24" i="7"/>
  <c r="D6" i="40" s="1"/>
  <c r="D23" i="7"/>
  <c r="I6" i="40" s="1"/>
  <c r="E17" i="9"/>
  <c r="D17" i="9"/>
  <c r="E16" i="9"/>
  <c r="D16" i="9"/>
  <c r="E15" i="9"/>
  <c r="D15" i="9"/>
  <c r="E14" i="9"/>
  <c r="D14" i="9"/>
  <c r="E13" i="9"/>
  <c r="D13" i="9"/>
  <c r="O25" i="7"/>
  <c r="E12" i="9" s="1"/>
  <c r="O24" i="7"/>
  <c r="D12" i="9" s="1"/>
  <c r="O23" i="7"/>
  <c r="M25" i="7"/>
  <c r="E11" i="9" s="1"/>
  <c r="M24" i="7"/>
  <c r="D11" i="9" s="1"/>
  <c r="M23" i="7"/>
  <c r="K25" i="7"/>
  <c r="E10" i="9" s="1"/>
  <c r="K24" i="7"/>
  <c r="D10" i="9" s="1"/>
  <c r="K23" i="7"/>
  <c r="I25" i="7"/>
  <c r="E9" i="9" s="1"/>
  <c r="I24" i="7"/>
  <c r="D9" i="9" s="1"/>
  <c r="I23" i="7"/>
  <c r="G25" i="7"/>
  <c r="E8" i="9" s="1"/>
  <c r="G24" i="7"/>
  <c r="D8" i="9" s="1"/>
  <c r="G23" i="7"/>
  <c r="E23" i="7"/>
  <c r="C25" i="7"/>
  <c r="E6" i="9" s="1"/>
  <c r="C24" i="7"/>
  <c r="D6" i="9" s="1"/>
  <c r="C23" i="7"/>
  <c r="J79" i="20"/>
  <c r="I79" i="20"/>
  <c r="H79" i="20"/>
  <c r="G79" i="20"/>
  <c r="F79" i="20"/>
  <c r="E79" i="20"/>
  <c r="F67" i="20"/>
  <c r="G67" i="20"/>
  <c r="H67" i="20"/>
  <c r="I67" i="20"/>
  <c r="J67" i="20"/>
  <c r="AB131" i="7"/>
  <c r="AA131" i="7"/>
  <c r="AA128" i="7"/>
  <c r="AB128" i="7"/>
  <c r="AB124" i="7"/>
  <c r="AA124" i="7"/>
  <c r="AB95" i="7"/>
  <c r="AB106" i="7"/>
  <c r="AB127" i="7"/>
  <c r="AB129" i="7"/>
  <c r="AB130" i="7"/>
  <c r="AA95" i="7"/>
  <c r="AA130" i="7"/>
  <c r="AA129" i="7"/>
  <c r="AA127" i="7"/>
  <c r="AA106" i="7"/>
  <c r="E19" i="40" l="1"/>
  <c r="D19" i="40"/>
  <c r="E19" i="9"/>
  <c r="D19" i="9"/>
  <c r="I16" i="40"/>
  <c r="C16" i="40"/>
  <c r="F16" i="40" s="1"/>
  <c r="K16" i="40"/>
  <c r="K6" i="9"/>
  <c r="C6" i="9"/>
  <c r="I6" i="9"/>
  <c r="K8" i="9"/>
  <c r="C8" i="9"/>
  <c r="I8" i="9"/>
  <c r="K10" i="9"/>
  <c r="C10" i="9"/>
  <c r="I10" i="9"/>
  <c r="K12" i="9"/>
  <c r="C12" i="9"/>
  <c r="I12" i="9"/>
  <c r="K14" i="9"/>
  <c r="C14" i="9"/>
  <c r="I14" i="9"/>
  <c r="K16" i="9"/>
  <c r="C16" i="9"/>
  <c r="I16" i="9"/>
  <c r="C6" i="40"/>
  <c r="K6" i="40"/>
  <c r="I8" i="40"/>
  <c r="C8" i="40"/>
  <c r="F8" i="40" s="1"/>
  <c r="K8" i="40"/>
  <c r="I10" i="40"/>
  <c r="C10" i="40"/>
  <c r="F10" i="40" s="1"/>
  <c r="K10" i="40"/>
  <c r="I12" i="40"/>
  <c r="C12" i="40"/>
  <c r="F12" i="40" s="1"/>
  <c r="K12" i="40"/>
  <c r="I14" i="40"/>
  <c r="C14" i="40"/>
  <c r="F14" i="40" s="1"/>
  <c r="K14" i="40"/>
  <c r="I7" i="9"/>
  <c r="K7" i="9"/>
  <c r="C7" i="9"/>
  <c r="I9" i="9"/>
  <c r="K9" i="9"/>
  <c r="C9" i="9"/>
  <c r="I11" i="9"/>
  <c r="K11" i="9"/>
  <c r="C11" i="9"/>
  <c r="I13" i="9"/>
  <c r="K13" i="9"/>
  <c r="C13" i="9"/>
  <c r="I15" i="9"/>
  <c r="K15" i="9"/>
  <c r="C15" i="9"/>
  <c r="I17" i="9"/>
  <c r="K17" i="9"/>
  <c r="C17" i="9"/>
  <c r="K7" i="40"/>
  <c r="I7" i="40"/>
  <c r="C7" i="40"/>
  <c r="F7" i="40" s="1"/>
  <c r="K9" i="40"/>
  <c r="I9" i="40"/>
  <c r="C9" i="40"/>
  <c r="F9" i="40" s="1"/>
  <c r="K11" i="40"/>
  <c r="I11" i="40"/>
  <c r="C11" i="40"/>
  <c r="F11" i="40" s="1"/>
  <c r="K13" i="40"/>
  <c r="I13" i="40"/>
  <c r="C13" i="40"/>
  <c r="F13" i="40" s="1"/>
  <c r="K15" i="40"/>
  <c r="I15" i="40"/>
  <c r="C15" i="40"/>
  <c r="F15" i="40" s="1"/>
  <c r="K17" i="40"/>
  <c r="I17" i="40"/>
  <c r="C17" i="40"/>
  <c r="F17" i="40" s="1"/>
  <c r="AB10" i="7"/>
  <c r="AB9" i="7"/>
  <c r="AA10" i="7"/>
  <c r="AC10" i="7" s="1"/>
  <c r="AA9" i="7"/>
  <c r="AC9" i="7" s="1"/>
  <c r="AN47" i="37"/>
  <c r="AN42" i="37"/>
  <c r="AM4" i="37"/>
  <c r="AN4" i="37" s="1"/>
  <c r="AK42" i="37"/>
  <c r="AJ4" i="37"/>
  <c r="AL40" i="29"/>
  <c r="AL21" i="29"/>
  <c r="AL9" i="29"/>
  <c r="AL8" i="29"/>
  <c r="AL6" i="29"/>
  <c r="AM4" i="29"/>
  <c r="AI40" i="29"/>
  <c r="AI29" i="29"/>
  <c r="AI28" i="29"/>
  <c r="AI25" i="29"/>
  <c r="AI23" i="29"/>
  <c r="AI9" i="29"/>
  <c r="AI6" i="29"/>
  <c r="AJ4" i="29"/>
  <c r="AH47" i="37"/>
  <c r="AG4" i="37"/>
  <c r="AH4" i="37" s="1"/>
  <c r="AF36" i="29"/>
  <c r="AF40" i="29"/>
  <c r="AF29" i="29"/>
  <c r="AF28" i="29"/>
  <c r="AF25" i="29"/>
  <c r="AF23" i="29"/>
  <c r="AF8" i="29"/>
  <c r="AF6" i="29"/>
  <c r="AE42" i="37"/>
  <c r="AD4" i="37"/>
  <c r="AC40" i="29"/>
  <c r="AC29" i="29"/>
  <c r="AC28" i="29"/>
  <c r="AC25" i="29"/>
  <c r="AC23" i="29"/>
  <c r="AC9" i="29"/>
  <c r="AC8" i="29"/>
  <c r="AD4" i="29"/>
  <c r="AA4" i="37"/>
  <c r="AB4" i="37" s="1"/>
  <c r="Z40" i="29"/>
  <c r="Z29" i="29"/>
  <c r="Z28" i="29"/>
  <c r="Z25" i="29"/>
  <c r="Z23" i="29"/>
  <c r="Z9" i="29"/>
  <c r="Z8" i="29"/>
  <c r="Z6" i="29"/>
  <c r="AA4" i="29"/>
  <c r="Y42" i="37"/>
  <c r="X4" i="37"/>
  <c r="Y4" i="37" s="1"/>
  <c r="W40" i="29"/>
  <c r="W29" i="29"/>
  <c r="W28" i="29"/>
  <c r="W25" i="29"/>
  <c r="W23" i="29"/>
  <c r="W9" i="29"/>
  <c r="W8" i="29"/>
  <c r="X4" i="29"/>
  <c r="U4" i="37"/>
  <c r="U3" i="37" s="1"/>
  <c r="T29" i="29"/>
  <c r="T28" i="29"/>
  <c r="T9" i="29"/>
  <c r="T8" i="29"/>
  <c r="U4" i="29"/>
  <c r="S42" i="37"/>
  <c r="R4" i="37"/>
  <c r="S4" i="37" s="1"/>
  <c r="Q40" i="29"/>
  <c r="Q28" i="29"/>
  <c r="Q25" i="29"/>
  <c r="Q23" i="29"/>
  <c r="Q9" i="29"/>
  <c r="Q8" i="29"/>
  <c r="R4" i="29"/>
  <c r="Q6" i="29"/>
  <c r="P42" i="37"/>
  <c r="O4" i="37"/>
  <c r="O3" i="37" s="1"/>
  <c r="O4" i="29"/>
  <c r="N40" i="29"/>
  <c r="N28" i="29"/>
  <c r="N23" i="29"/>
  <c r="N9" i="29"/>
  <c r="N6" i="29"/>
  <c r="L4" i="37"/>
  <c r="M4" i="37" s="1"/>
  <c r="I4" i="37"/>
  <c r="J4" i="37" s="1"/>
  <c r="L4" i="29"/>
  <c r="I4" i="29"/>
  <c r="K40" i="29"/>
  <c r="K29" i="29"/>
  <c r="K28" i="29"/>
  <c r="K25" i="29"/>
  <c r="K23" i="29"/>
  <c r="K9" i="29"/>
  <c r="K8" i="29"/>
  <c r="K6" i="29"/>
  <c r="H40" i="29"/>
  <c r="H29" i="29"/>
  <c r="H28" i="29"/>
  <c r="H25" i="29"/>
  <c r="H23" i="29"/>
  <c r="H9" i="29"/>
  <c r="H8" i="29"/>
  <c r="H6" i="29"/>
  <c r="G47" i="37"/>
  <c r="F4" i="29"/>
  <c r="E40" i="29"/>
  <c r="E29" i="29"/>
  <c r="E28" i="29"/>
  <c r="E25" i="29"/>
  <c r="E23" i="29"/>
  <c r="E8" i="29"/>
  <c r="E6" i="29"/>
  <c r="AU247" i="7"/>
  <c r="AU248" i="7"/>
  <c r="AU249" i="7"/>
  <c r="AU250" i="7"/>
  <c r="AU251" i="7"/>
  <c r="AT251" i="7"/>
  <c r="AT250" i="7"/>
  <c r="AT249" i="7"/>
  <c r="AT248" i="7"/>
  <c r="AT247" i="7"/>
  <c r="AU239" i="7"/>
  <c r="AU240" i="7"/>
  <c r="AU241" i="7"/>
  <c r="AU243" i="7"/>
  <c r="AW243" i="7" s="1"/>
  <c r="AT243" i="7"/>
  <c r="AT241" i="7"/>
  <c r="AT240" i="7"/>
  <c r="AT239" i="7"/>
  <c r="AQ247" i="7"/>
  <c r="AQ248" i="7"/>
  <c r="AQ249" i="7"/>
  <c r="AQ250" i="7"/>
  <c r="AQ251" i="7"/>
  <c r="AP251" i="7"/>
  <c r="AP250" i="7"/>
  <c r="AP249" i="7"/>
  <c r="AP248" i="7"/>
  <c r="AP247" i="7"/>
  <c r="AQ239" i="7"/>
  <c r="AQ240" i="7"/>
  <c r="AQ241" i="7"/>
  <c r="AQ243" i="7"/>
  <c r="AS243" i="7" s="1"/>
  <c r="AP243" i="7"/>
  <c r="AP241" i="7"/>
  <c r="AP240" i="7"/>
  <c r="AP239" i="7"/>
  <c r="AM247" i="7"/>
  <c r="AM248" i="7"/>
  <c r="AM249" i="7"/>
  <c r="AM250" i="7"/>
  <c r="AM251" i="7"/>
  <c r="AL251" i="7"/>
  <c r="AL250" i="7"/>
  <c r="AL249" i="7"/>
  <c r="AL248" i="7"/>
  <c r="AL247" i="7"/>
  <c r="AM239" i="7"/>
  <c r="AM240" i="7"/>
  <c r="AM241" i="7"/>
  <c r="AM243" i="7"/>
  <c r="AO243" i="7" s="1"/>
  <c r="AL243" i="7"/>
  <c r="AL241" i="7"/>
  <c r="AL240" i="7"/>
  <c r="AL239" i="7"/>
  <c r="AI247" i="7"/>
  <c r="AI248" i="7"/>
  <c r="AI249" i="7"/>
  <c r="AI250" i="7"/>
  <c r="AI251" i="7"/>
  <c r="AI239" i="7"/>
  <c r="AI240" i="7"/>
  <c r="AI241" i="7"/>
  <c r="AI243" i="7"/>
  <c r="AK243" i="7" s="1"/>
  <c r="AH251" i="7"/>
  <c r="AH250" i="7"/>
  <c r="AH249" i="7"/>
  <c r="AH248" i="7"/>
  <c r="AH247" i="7"/>
  <c r="AH243" i="7"/>
  <c r="AH241" i="7"/>
  <c r="AH240" i="7"/>
  <c r="AH239" i="7"/>
  <c r="AE247" i="7"/>
  <c r="AE248" i="7"/>
  <c r="AE249" i="7"/>
  <c r="AE250" i="7"/>
  <c r="AE251" i="7"/>
  <c r="AE239" i="7"/>
  <c r="AE240" i="7"/>
  <c r="AE241" i="7"/>
  <c r="AE243" i="7"/>
  <c r="AG243" i="7" s="1"/>
  <c r="AD251" i="7"/>
  <c r="AD250" i="7"/>
  <c r="AD249" i="7"/>
  <c r="AD248" i="7"/>
  <c r="AD247" i="7"/>
  <c r="AD243" i="7"/>
  <c r="AD241" i="7"/>
  <c r="AD240" i="7"/>
  <c r="AD239" i="7"/>
  <c r="AA247" i="7"/>
  <c r="AA248" i="7"/>
  <c r="AA249" i="7"/>
  <c r="AA250" i="7"/>
  <c r="AA251" i="7"/>
  <c r="Z251" i="7"/>
  <c r="Z250" i="7"/>
  <c r="Z249" i="7"/>
  <c r="Z248" i="7"/>
  <c r="Z247" i="7"/>
  <c r="AA239" i="7"/>
  <c r="AA240" i="7"/>
  <c r="AA241" i="7"/>
  <c r="AA243" i="7"/>
  <c r="AC243" i="7" s="1"/>
  <c r="Z243" i="7"/>
  <c r="Z241" i="7"/>
  <c r="Z240" i="7"/>
  <c r="Z239" i="7"/>
  <c r="S28" i="36"/>
  <c r="R28" i="36"/>
  <c r="Q28" i="36"/>
  <c r="P28" i="36"/>
  <c r="O28" i="36"/>
  <c r="N28" i="36"/>
  <c r="M28" i="36"/>
  <c r="L28" i="36"/>
  <c r="K28" i="36"/>
  <c r="J28" i="36"/>
  <c r="I28" i="36"/>
  <c r="H28" i="36"/>
  <c r="S23" i="36"/>
  <c r="R23" i="36"/>
  <c r="Q23" i="36"/>
  <c r="P23" i="36"/>
  <c r="O23" i="36"/>
  <c r="N23" i="36"/>
  <c r="M23" i="36"/>
  <c r="L23" i="36"/>
  <c r="K23" i="36"/>
  <c r="J23" i="36"/>
  <c r="I23" i="36"/>
  <c r="H23" i="36"/>
  <c r="S14" i="36"/>
  <c r="R14" i="36"/>
  <c r="Q14" i="36"/>
  <c r="P14" i="36"/>
  <c r="O14" i="36"/>
  <c r="N14" i="36"/>
  <c r="M14" i="36"/>
  <c r="L14" i="36"/>
  <c r="K14" i="36"/>
  <c r="J14" i="36"/>
  <c r="I14" i="36"/>
  <c r="H14" i="36"/>
  <c r="AP47" i="37"/>
  <c r="AP46" i="37" s="1"/>
  <c r="AK47" i="37"/>
  <c r="M47" i="37"/>
  <c r="AM46" i="37"/>
  <c r="AJ46" i="37"/>
  <c r="AG46" i="37"/>
  <c r="AF46" i="37"/>
  <c r="AD46" i="37"/>
  <c r="AA46" i="37"/>
  <c r="X46" i="37"/>
  <c r="U46" i="37"/>
  <c r="R46" i="37"/>
  <c r="O46" i="37"/>
  <c r="L46" i="37"/>
  <c r="I46" i="37"/>
  <c r="F46" i="37"/>
  <c r="AP45" i="37"/>
  <c r="AN45" i="37"/>
  <c r="AK45" i="37"/>
  <c r="AH45" i="37"/>
  <c r="AE45" i="37"/>
  <c r="AB45" i="37"/>
  <c r="Y45" i="37"/>
  <c r="V45" i="37"/>
  <c r="S45" i="37"/>
  <c r="P45" i="37"/>
  <c r="M45" i="37"/>
  <c r="J45" i="37"/>
  <c r="G45" i="37"/>
  <c r="AP44" i="37"/>
  <c r="AP43" i="37" s="1"/>
  <c r="AO43" i="37"/>
  <c r="AN44" i="37"/>
  <c r="AK44" i="37"/>
  <c r="AH44" i="37"/>
  <c r="AE44" i="37"/>
  <c r="AB44" i="37"/>
  <c r="Y44" i="37"/>
  <c r="V44" i="37"/>
  <c r="S44" i="37"/>
  <c r="P44" i="37"/>
  <c r="M44" i="37"/>
  <c r="J44" i="37"/>
  <c r="G44" i="37"/>
  <c r="AM43" i="37"/>
  <c r="AL43" i="37"/>
  <c r="AJ43" i="37"/>
  <c r="AI43" i="37"/>
  <c r="AG43" i="37"/>
  <c r="AF43" i="37"/>
  <c r="AD43" i="37"/>
  <c r="AC43" i="37"/>
  <c r="AA43" i="37"/>
  <c r="Z43" i="37"/>
  <c r="X43" i="37"/>
  <c r="W43" i="37"/>
  <c r="U43" i="37"/>
  <c r="T43" i="37"/>
  <c r="R43" i="37"/>
  <c r="Q43" i="37"/>
  <c r="O43" i="37"/>
  <c r="N43" i="37"/>
  <c r="L43" i="37"/>
  <c r="K43" i="37"/>
  <c r="I43" i="37"/>
  <c r="H43" i="37"/>
  <c r="F43" i="37"/>
  <c r="E43" i="37"/>
  <c r="AP42" i="37"/>
  <c r="AP41" i="37" s="1"/>
  <c r="AH42" i="37"/>
  <c r="AB42" i="37"/>
  <c r="V42" i="37"/>
  <c r="M42" i="37"/>
  <c r="AM41" i="37"/>
  <c r="AJ41" i="37"/>
  <c r="AI41" i="37"/>
  <c r="AG41" i="37"/>
  <c r="AF41" i="37"/>
  <c r="AD41" i="37"/>
  <c r="AD50" i="37" s="1"/>
  <c r="AC41" i="37"/>
  <c r="AA41" i="37"/>
  <c r="Z41" i="37"/>
  <c r="X41" i="37"/>
  <c r="U41" i="37"/>
  <c r="T41" i="37"/>
  <c r="R41" i="37"/>
  <c r="Q41" i="37"/>
  <c r="O41" i="37"/>
  <c r="L41" i="37"/>
  <c r="K41" i="37"/>
  <c r="I41" i="37"/>
  <c r="F41" i="37"/>
  <c r="F50" i="37" s="1"/>
  <c r="AP37" i="37"/>
  <c r="AP36" i="37" s="1"/>
  <c r="AL37" i="37"/>
  <c r="AN37" i="37" s="1"/>
  <c r="AI37" i="37"/>
  <c r="AK37" i="37" s="1"/>
  <c r="AF37" i="37"/>
  <c r="AH37" i="37" s="1"/>
  <c r="AC37" i="37"/>
  <c r="AE37" i="37" s="1"/>
  <c r="Z37" i="37"/>
  <c r="AB37" i="37" s="1"/>
  <c r="W37" i="37"/>
  <c r="Y37" i="37" s="1"/>
  <c r="T37" i="37"/>
  <c r="V37" i="37" s="1"/>
  <c r="Q37" i="37"/>
  <c r="S37" i="37" s="1"/>
  <c r="N37" i="37"/>
  <c r="P37" i="37" s="1"/>
  <c r="K37" i="37"/>
  <c r="M37" i="37" s="1"/>
  <c r="H37" i="37"/>
  <c r="J37" i="37" s="1"/>
  <c r="E37" i="37"/>
  <c r="AM36" i="37"/>
  <c r="AJ36" i="37"/>
  <c r="AG36" i="37"/>
  <c r="AD36" i="37"/>
  <c r="AA36" i="37"/>
  <c r="X36" i="37"/>
  <c r="U36" i="37"/>
  <c r="R36" i="37"/>
  <c r="O36" i="37"/>
  <c r="L36" i="37"/>
  <c r="I36" i="37"/>
  <c r="F36" i="37"/>
  <c r="AP35" i="37"/>
  <c r="AN35" i="37"/>
  <c r="AK35" i="37"/>
  <c r="AH35" i="37"/>
  <c r="AE35" i="37"/>
  <c r="AB35" i="37"/>
  <c r="Y35" i="37"/>
  <c r="V35" i="37"/>
  <c r="S35" i="37"/>
  <c r="P35" i="37"/>
  <c r="M35" i="37"/>
  <c r="J35" i="37"/>
  <c r="G35" i="37"/>
  <c r="AP34" i="37"/>
  <c r="AP33" i="37" s="1"/>
  <c r="AO33" i="37"/>
  <c r="AQ33" i="37" s="1"/>
  <c r="AN34" i="37"/>
  <c r="AK34" i="37"/>
  <c r="AH34" i="37"/>
  <c r="AE34" i="37"/>
  <c r="AB34" i="37"/>
  <c r="Y34" i="37"/>
  <c r="V34" i="37"/>
  <c r="S34" i="37"/>
  <c r="P34" i="37"/>
  <c r="M34" i="37"/>
  <c r="J34" i="37"/>
  <c r="G34" i="37"/>
  <c r="AM33" i="37"/>
  <c r="AN33" i="37" s="1"/>
  <c r="AJ33" i="37"/>
  <c r="AI33" i="37"/>
  <c r="AH33" i="37"/>
  <c r="AG33" i="37"/>
  <c r="AD33" i="37"/>
  <c r="AC33" i="37"/>
  <c r="AA33" i="37"/>
  <c r="Z33" i="37"/>
  <c r="X33" i="37"/>
  <c r="W33" i="37"/>
  <c r="U33" i="37"/>
  <c r="T33" i="37"/>
  <c r="R33" i="37"/>
  <c r="Q33" i="37"/>
  <c r="O33" i="37"/>
  <c r="N33" i="37"/>
  <c r="L33" i="37"/>
  <c r="K33" i="37"/>
  <c r="I33" i="37"/>
  <c r="H33" i="37"/>
  <c r="F33" i="37"/>
  <c r="E33" i="37"/>
  <c r="AM32" i="37"/>
  <c r="AL32" i="37"/>
  <c r="AJ32" i="37"/>
  <c r="AI32" i="37"/>
  <c r="AG32" i="37"/>
  <c r="AF32" i="37"/>
  <c r="AD32" i="37"/>
  <c r="AC32" i="37"/>
  <c r="AA32" i="37"/>
  <c r="Z32" i="37"/>
  <c r="X32" i="37"/>
  <c r="W32" i="37"/>
  <c r="U32" i="37"/>
  <c r="T32" i="37"/>
  <c r="R32" i="37"/>
  <c r="Q32" i="37"/>
  <c r="L19" i="7" s="1"/>
  <c r="O32" i="37"/>
  <c r="N32" i="37"/>
  <c r="L32" i="37"/>
  <c r="K32" i="37"/>
  <c r="I32" i="37"/>
  <c r="H32" i="37"/>
  <c r="F32" i="37"/>
  <c r="E32" i="37"/>
  <c r="AO32" i="37" s="1"/>
  <c r="AP31" i="37"/>
  <c r="AN31" i="37"/>
  <c r="AK31" i="37"/>
  <c r="AH31" i="37"/>
  <c r="AE31" i="37"/>
  <c r="AB31" i="37"/>
  <c r="Y31" i="37"/>
  <c r="V31" i="37"/>
  <c r="S31" i="37"/>
  <c r="P31" i="37"/>
  <c r="M31" i="37"/>
  <c r="J31" i="37"/>
  <c r="G31" i="37"/>
  <c r="AP30" i="37"/>
  <c r="AN30" i="37"/>
  <c r="AK30" i="37"/>
  <c r="AH30" i="37"/>
  <c r="AE30" i="37"/>
  <c r="AB30" i="37"/>
  <c r="Y30" i="37"/>
  <c r="V30" i="37"/>
  <c r="S30" i="37"/>
  <c r="M30" i="37"/>
  <c r="J30" i="37"/>
  <c r="G30" i="37"/>
  <c r="AP29" i="37"/>
  <c r="AL29" i="37"/>
  <c r="AN29" i="37" s="1"/>
  <c r="AI29" i="37"/>
  <c r="AK29" i="37" s="1"/>
  <c r="AF29" i="37"/>
  <c r="AH29" i="37" s="1"/>
  <c r="AC29" i="37"/>
  <c r="AE29" i="37" s="1"/>
  <c r="AB29" i="37"/>
  <c r="Y29" i="37"/>
  <c r="V29" i="37"/>
  <c r="S29" i="37"/>
  <c r="P29" i="37"/>
  <c r="M29" i="37"/>
  <c r="J29" i="37"/>
  <c r="AP28" i="37"/>
  <c r="AL28" i="37"/>
  <c r="AN28" i="37" s="1"/>
  <c r="AI28" i="37"/>
  <c r="AK28" i="37" s="1"/>
  <c r="AF28" i="37"/>
  <c r="AH28" i="37" s="1"/>
  <c r="AC28" i="37"/>
  <c r="AE28" i="37" s="1"/>
  <c r="Z28" i="37"/>
  <c r="AB28" i="37" s="1"/>
  <c r="W28" i="37"/>
  <c r="Y28" i="37" s="1"/>
  <c r="T28" i="37"/>
  <c r="V28" i="37" s="1"/>
  <c r="Q28" i="37"/>
  <c r="S28" i="37" s="1"/>
  <c r="N28" i="37"/>
  <c r="P28" i="37" s="1"/>
  <c r="K28" i="37"/>
  <c r="M28" i="37" s="1"/>
  <c r="H28" i="37"/>
  <c r="J28" i="37" s="1"/>
  <c r="E28" i="37"/>
  <c r="AP27" i="37"/>
  <c r="AN27" i="37"/>
  <c r="AK27" i="37"/>
  <c r="AH27" i="37"/>
  <c r="AE27" i="37"/>
  <c r="AB27" i="37"/>
  <c r="Y27" i="37"/>
  <c r="V27" i="37"/>
  <c r="S27" i="37"/>
  <c r="P27" i="37"/>
  <c r="M27" i="37"/>
  <c r="J27" i="37"/>
  <c r="G27" i="37"/>
  <c r="AP26" i="37"/>
  <c r="AN26" i="37"/>
  <c r="AK26" i="37"/>
  <c r="AH26" i="37"/>
  <c r="AE26" i="37"/>
  <c r="AB26" i="37"/>
  <c r="Y26" i="37"/>
  <c r="V26" i="37"/>
  <c r="S26" i="37"/>
  <c r="P26" i="37"/>
  <c r="M26" i="37"/>
  <c r="J26" i="37"/>
  <c r="G26" i="37"/>
  <c r="AP25" i="37"/>
  <c r="AL25" i="37"/>
  <c r="AN25" i="37" s="1"/>
  <c r="AI25" i="37"/>
  <c r="AK25" i="37" s="1"/>
  <c r="AF25" i="37"/>
  <c r="AH25" i="37" s="1"/>
  <c r="AC25" i="37"/>
  <c r="AE25" i="37" s="1"/>
  <c r="Z25" i="37"/>
  <c r="AB25" i="37" s="1"/>
  <c r="W25" i="37"/>
  <c r="Y25" i="37" s="1"/>
  <c r="T25" i="37"/>
  <c r="V25" i="37" s="1"/>
  <c r="Q25" i="37"/>
  <c r="S25" i="37" s="1"/>
  <c r="N25" i="37"/>
  <c r="P25" i="37" s="1"/>
  <c r="M25" i="37"/>
  <c r="H25" i="37"/>
  <c r="J25" i="37" s="1"/>
  <c r="E25" i="37"/>
  <c r="AP24" i="37"/>
  <c r="AQ24" i="37"/>
  <c r="AN24" i="37"/>
  <c r="AK24" i="37"/>
  <c r="AH24" i="37"/>
  <c r="AE24" i="37"/>
  <c r="AB24" i="37"/>
  <c r="Y24" i="37"/>
  <c r="V24" i="37"/>
  <c r="S24" i="37"/>
  <c r="P24" i="37"/>
  <c r="M24" i="37"/>
  <c r="J24" i="37"/>
  <c r="G24" i="37"/>
  <c r="AP23" i="37"/>
  <c r="AL23" i="37"/>
  <c r="AN23" i="37" s="1"/>
  <c r="AI23" i="37"/>
  <c r="AK23" i="37" s="1"/>
  <c r="AF23" i="37"/>
  <c r="AH23" i="37" s="1"/>
  <c r="AC23" i="37"/>
  <c r="AE23" i="37" s="1"/>
  <c r="Z23" i="37"/>
  <c r="AB23" i="37" s="1"/>
  <c r="W23" i="37"/>
  <c r="Y23" i="37" s="1"/>
  <c r="T23" i="37"/>
  <c r="V23" i="37" s="1"/>
  <c r="Q23" i="37"/>
  <c r="S23" i="37" s="1"/>
  <c r="N23" i="37"/>
  <c r="P23" i="37" s="1"/>
  <c r="K23" i="37"/>
  <c r="M23" i="37" s="1"/>
  <c r="H23" i="37"/>
  <c r="J23" i="37" s="1"/>
  <c r="E23" i="37"/>
  <c r="AP22" i="37"/>
  <c r="AP21" i="37" s="1"/>
  <c r="AN22" i="37"/>
  <c r="AK22" i="37"/>
  <c r="AH22" i="37"/>
  <c r="AE22" i="37"/>
  <c r="AB22" i="37"/>
  <c r="Y22" i="37"/>
  <c r="V22" i="37"/>
  <c r="S22" i="37"/>
  <c r="P22" i="37"/>
  <c r="M22" i="37"/>
  <c r="J22" i="37"/>
  <c r="G22" i="37"/>
  <c r="AM21" i="37"/>
  <c r="AJ21" i="37"/>
  <c r="AG21" i="37"/>
  <c r="AD21" i="37"/>
  <c r="AA21" i="37"/>
  <c r="X21" i="37"/>
  <c r="U21" i="37"/>
  <c r="R21" i="37"/>
  <c r="O21" i="37"/>
  <c r="L21" i="37"/>
  <c r="I21" i="37"/>
  <c r="F21" i="37"/>
  <c r="AP20" i="37"/>
  <c r="AN20" i="37"/>
  <c r="AK20" i="37"/>
  <c r="AH20" i="37"/>
  <c r="AE20" i="37"/>
  <c r="AB20" i="37"/>
  <c r="Y20" i="37"/>
  <c r="V20" i="37"/>
  <c r="S20" i="37"/>
  <c r="P20" i="37"/>
  <c r="M20" i="37"/>
  <c r="J20" i="37"/>
  <c r="G20" i="37"/>
  <c r="AP19" i="37"/>
  <c r="AN19" i="37"/>
  <c r="AK19" i="37"/>
  <c r="AH19" i="37"/>
  <c r="AE19" i="37"/>
  <c r="AB19" i="37"/>
  <c r="Y19" i="37"/>
  <c r="V19" i="37"/>
  <c r="S19" i="37"/>
  <c r="P19" i="37"/>
  <c r="M19" i="37"/>
  <c r="J19" i="37"/>
  <c r="G19" i="37"/>
  <c r="AP18" i="37"/>
  <c r="AN18" i="37"/>
  <c r="AK18" i="37"/>
  <c r="AH18" i="37"/>
  <c r="AE18" i="37"/>
  <c r="AB18" i="37"/>
  <c r="Y18" i="37"/>
  <c r="V18" i="37"/>
  <c r="S18" i="37"/>
  <c r="P18" i="37"/>
  <c r="M18" i="37"/>
  <c r="J18" i="37"/>
  <c r="G18" i="37"/>
  <c r="AP17" i="37"/>
  <c r="AN17" i="37"/>
  <c r="AK17" i="37"/>
  <c r="AH17" i="37"/>
  <c r="AE17" i="37"/>
  <c r="AB17" i="37"/>
  <c r="Y17" i="37"/>
  <c r="V17" i="37"/>
  <c r="S17" i="37"/>
  <c r="P17" i="37"/>
  <c r="M17" i="37"/>
  <c r="J17" i="37"/>
  <c r="G17" i="37"/>
  <c r="AP16" i="37"/>
  <c r="AM16" i="37"/>
  <c r="AL16" i="37"/>
  <c r="AN16" i="37" s="1"/>
  <c r="AJ16" i="37"/>
  <c r="AI16" i="37"/>
  <c r="AK16" i="37" s="1"/>
  <c r="AG16" i="37"/>
  <c r="AF16" i="37"/>
  <c r="AH16" i="37" s="1"/>
  <c r="AD16" i="37"/>
  <c r="AC16" i="37"/>
  <c r="AE16" i="37" s="1"/>
  <c r="AA16" i="37"/>
  <c r="Z16" i="37"/>
  <c r="AB16" i="37" s="1"/>
  <c r="X16" i="37"/>
  <c r="W16" i="37"/>
  <c r="Y16" i="37" s="1"/>
  <c r="U16" i="37"/>
  <c r="T16" i="37"/>
  <c r="V16" i="37" s="1"/>
  <c r="R16" i="37"/>
  <c r="Q16" i="37"/>
  <c r="S16" i="37" s="1"/>
  <c r="O16" i="37"/>
  <c r="N16" i="37"/>
  <c r="P16" i="37" s="1"/>
  <c r="L16" i="37"/>
  <c r="K16" i="37"/>
  <c r="M16" i="37" s="1"/>
  <c r="I16" i="37"/>
  <c r="H16" i="37"/>
  <c r="J16" i="37" s="1"/>
  <c r="F16" i="37"/>
  <c r="E16" i="37"/>
  <c r="G16" i="37" s="1"/>
  <c r="AQ15" i="37"/>
  <c r="AN15" i="37"/>
  <c r="AK15" i="37"/>
  <c r="AH15" i="37"/>
  <c r="AE15" i="37"/>
  <c r="AB15" i="37"/>
  <c r="Y15" i="37"/>
  <c r="V15" i="37"/>
  <c r="S15" i="37"/>
  <c r="P15" i="37"/>
  <c r="M15" i="37"/>
  <c r="J15" i="37"/>
  <c r="G15" i="37"/>
  <c r="AP14" i="37"/>
  <c r="AO14" i="37"/>
  <c r="AN14" i="37"/>
  <c r="AK14" i="37"/>
  <c r="AH14" i="37"/>
  <c r="AE14" i="37"/>
  <c r="AB14" i="37"/>
  <c r="Y14" i="37"/>
  <c r="V14" i="37"/>
  <c r="S14" i="37"/>
  <c r="P14" i="37"/>
  <c r="M14" i="37"/>
  <c r="J14" i="37"/>
  <c r="G14" i="37"/>
  <c r="AP13" i="37"/>
  <c r="AO13" i="37"/>
  <c r="AO12" i="37" s="1"/>
  <c r="AN13" i="37"/>
  <c r="AK13" i="37"/>
  <c r="AH13" i="37"/>
  <c r="AE13" i="37"/>
  <c r="AB13" i="37"/>
  <c r="Y13" i="37"/>
  <c r="V13" i="37"/>
  <c r="S13" i="37"/>
  <c r="P13" i="37"/>
  <c r="M13" i="37"/>
  <c r="J13" i="37"/>
  <c r="G13" i="37"/>
  <c r="AP12" i="37"/>
  <c r="AM12" i="37"/>
  <c r="AL12" i="37"/>
  <c r="AJ12" i="37"/>
  <c r="AI12" i="37"/>
  <c r="AG12" i="37"/>
  <c r="AF12" i="37"/>
  <c r="AD12" i="37"/>
  <c r="AC12" i="37"/>
  <c r="AA12" i="37"/>
  <c r="Z12" i="37"/>
  <c r="X12" i="37"/>
  <c r="W12" i="37"/>
  <c r="U12" i="37"/>
  <c r="T12" i="37"/>
  <c r="R12" i="37"/>
  <c r="Q12" i="37"/>
  <c r="O12" i="37"/>
  <c r="N12" i="37"/>
  <c r="L12" i="37"/>
  <c r="K12" i="37"/>
  <c r="I12" i="37"/>
  <c r="H12" i="37"/>
  <c r="F12" i="37"/>
  <c r="E12" i="37"/>
  <c r="AP10" i="37"/>
  <c r="AN10" i="37"/>
  <c r="AK10" i="37"/>
  <c r="AH10" i="37"/>
  <c r="AE10" i="37"/>
  <c r="AB10" i="37"/>
  <c r="Y10" i="37"/>
  <c r="V10" i="37"/>
  <c r="S10" i="37"/>
  <c r="P10" i="37"/>
  <c r="M10" i="37"/>
  <c r="J10" i="37"/>
  <c r="G10" i="37"/>
  <c r="AP9" i="37"/>
  <c r="AP7" i="37" s="1"/>
  <c r="AL9" i="37"/>
  <c r="AN9" i="37" s="1"/>
  <c r="AI9" i="37"/>
  <c r="AK9" i="37" s="1"/>
  <c r="AF9" i="37"/>
  <c r="AH9" i="37" s="1"/>
  <c r="AC9" i="37"/>
  <c r="AE9" i="37" s="1"/>
  <c r="Z9" i="37"/>
  <c r="AB9" i="37" s="1"/>
  <c r="W9" i="37"/>
  <c r="Y9" i="37" s="1"/>
  <c r="T9" i="37"/>
  <c r="V9" i="37" s="1"/>
  <c r="Q9" i="37"/>
  <c r="S9" i="37" s="1"/>
  <c r="N9" i="37"/>
  <c r="P9" i="37" s="1"/>
  <c r="M9" i="37"/>
  <c r="AP8" i="37"/>
  <c r="AL8" i="37"/>
  <c r="AI8" i="37"/>
  <c r="AF8" i="37"/>
  <c r="AH8" i="37" s="1"/>
  <c r="AC8" i="37"/>
  <c r="Z8" i="37"/>
  <c r="AB8" i="37" s="1"/>
  <c r="W8" i="37"/>
  <c r="T8" i="37"/>
  <c r="V8" i="37" s="1"/>
  <c r="Q8" i="37"/>
  <c r="N8" i="37"/>
  <c r="P8" i="37" s="1"/>
  <c r="J8" i="37"/>
  <c r="AM7" i="37"/>
  <c r="AJ7" i="37"/>
  <c r="AG7" i="37"/>
  <c r="AD7" i="37"/>
  <c r="AA7" i="37"/>
  <c r="X7" i="37"/>
  <c r="U7" i="37"/>
  <c r="R7" i="37"/>
  <c r="O7" i="37"/>
  <c r="L7" i="37"/>
  <c r="I7" i="37"/>
  <c r="F7" i="37"/>
  <c r="AP6" i="37"/>
  <c r="AN6" i="37"/>
  <c r="AI6" i="37"/>
  <c r="AK6" i="37" s="1"/>
  <c r="AF6" i="37"/>
  <c r="AH6" i="37" s="1"/>
  <c r="AC6" i="37"/>
  <c r="AE6" i="37" s="1"/>
  <c r="Z6" i="37"/>
  <c r="AB6" i="37" s="1"/>
  <c r="W6" i="37"/>
  <c r="Y6" i="37" s="1"/>
  <c r="T6" i="37"/>
  <c r="V6" i="37" s="1"/>
  <c r="Q6" i="37"/>
  <c r="S6" i="37" s="1"/>
  <c r="N6" i="37"/>
  <c r="P6" i="37" s="1"/>
  <c r="K6" i="37"/>
  <c r="M6" i="37" s="1"/>
  <c r="H6" i="37"/>
  <c r="J6" i="37" s="1"/>
  <c r="E6" i="37"/>
  <c r="AP5" i="37"/>
  <c r="AN5" i="37"/>
  <c r="AK5" i="37"/>
  <c r="AH5" i="37"/>
  <c r="AE5" i="37"/>
  <c r="AB5" i="37"/>
  <c r="Y5" i="37"/>
  <c r="V5" i="37"/>
  <c r="S5" i="37"/>
  <c r="P5" i="37"/>
  <c r="M5" i="37"/>
  <c r="J5" i="37"/>
  <c r="G5" i="37"/>
  <c r="AK4" i="37"/>
  <c r="AE4" i="37"/>
  <c r="F4" i="37"/>
  <c r="AJ3" i="37"/>
  <c r="AJ39" i="37" s="1"/>
  <c r="AD3" i="37"/>
  <c r="S23" i="3"/>
  <c r="R23" i="3"/>
  <c r="Q23" i="3"/>
  <c r="P23" i="3"/>
  <c r="O23" i="3"/>
  <c r="N23" i="3"/>
  <c r="M23" i="3"/>
  <c r="L23" i="3"/>
  <c r="K23" i="3"/>
  <c r="J23" i="3"/>
  <c r="I23" i="3"/>
  <c r="H23" i="3"/>
  <c r="S40" i="36"/>
  <c r="R40" i="36"/>
  <c r="Q40" i="36"/>
  <c r="P40" i="36"/>
  <c r="O40" i="36"/>
  <c r="N40" i="36"/>
  <c r="M40" i="36"/>
  <c r="L40" i="36"/>
  <c r="K40" i="36"/>
  <c r="J40" i="36"/>
  <c r="I40" i="36"/>
  <c r="H40" i="36"/>
  <c r="N47" i="6"/>
  <c r="M47" i="6"/>
  <c r="L47" i="6"/>
  <c r="K47" i="6"/>
  <c r="J47" i="6"/>
  <c r="I47" i="6"/>
  <c r="H47" i="6"/>
  <c r="G47" i="6"/>
  <c r="F47" i="6"/>
  <c r="E47" i="6"/>
  <c r="D47" i="6"/>
  <c r="C47" i="6"/>
  <c r="N22" i="6"/>
  <c r="N24" i="6" s="1"/>
  <c r="N26" i="6" s="1"/>
  <c r="M22" i="6"/>
  <c r="M24" i="6" s="1"/>
  <c r="M26" i="6" s="1"/>
  <c r="L22" i="6"/>
  <c r="L24" i="6" s="1"/>
  <c r="L26" i="6" s="1"/>
  <c r="K22" i="6"/>
  <c r="K24" i="6" s="1"/>
  <c r="K26" i="6" s="1"/>
  <c r="J22" i="6"/>
  <c r="J24" i="6" s="1"/>
  <c r="J26" i="6" s="1"/>
  <c r="I22" i="6"/>
  <c r="I24" i="6" s="1"/>
  <c r="I26" i="6" s="1"/>
  <c r="H22" i="6"/>
  <c r="H21" i="6"/>
  <c r="G22" i="6"/>
  <c r="G21" i="6"/>
  <c r="F22" i="6"/>
  <c r="F21" i="6"/>
  <c r="E22" i="6"/>
  <c r="E21" i="6"/>
  <c r="D21" i="6"/>
  <c r="C22" i="6"/>
  <c r="C21" i="6"/>
  <c r="N14" i="6"/>
  <c r="S35" i="36" s="1"/>
  <c r="M14" i="6"/>
  <c r="R35" i="36" s="1"/>
  <c r="Q35" i="36"/>
  <c r="K14" i="6"/>
  <c r="P35" i="36" s="1"/>
  <c r="J14" i="6"/>
  <c r="O35" i="36" s="1"/>
  <c r="I14" i="6"/>
  <c r="N35" i="36" s="1"/>
  <c r="H14" i="6"/>
  <c r="M35" i="36" s="1"/>
  <c r="G14" i="6"/>
  <c r="L35" i="36" s="1"/>
  <c r="F14" i="6"/>
  <c r="K35" i="36" s="1"/>
  <c r="E14" i="6"/>
  <c r="J35" i="36" s="1"/>
  <c r="D14" i="6"/>
  <c r="I35" i="36" s="1"/>
  <c r="C14" i="6"/>
  <c r="H35" i="36" s="1"/>
  <c r="S34" i="36"/>
  <c r="R34" i="36"/>
  <c r="Q34" i="36"/>
  <c r="P34" i="36"/>
  <c r="O34" i="36"/>
  <c r="N34" i="36"/>
  <c r="M34" i="36"/>
  <c r="L34" i="36"/>
  <c r="K34" i="36"/>
  <c r="J34" i="36"/>
  <c r="I34" i="36"/>
  <c r="H34" i="36"/>
  <c r="L20" i="34"/>
  <c r="L19" i="34"/>
  <c r="L18" i="34"/>
  <c r="L17" i="34"/>
  <c r="K20" i="34"/>
  <c r="K19" i="34"/>
  <c r="K18" i="34"/>
  <c r="K17" i="34"/>
  <c r="J20" i="34"/>
  <c r="J19" i="34"/>
  <c r="J18" i="34"/>
  <c r="J17" i="34"/>
  <c r="I20" i="34"/>
  <c r="I19" i="34"/>
  <c r="I18" i="34"/>
  <c r="I17" i="34"/>
  <c r="H20" i="34"/>
  <c r="H19" i="34"/>
  <c r="H18" i="34"/>
  <c r="H17" i="34"/>
  <c r="G20" i="34"/>
  <c r="G19" i="34"/>
  <c r="G18" i="34"/>
  <c r="G17" i="34"/>
  <c r="F20" i="34"/>
  <c r="F19" i="34"/>
  <c r="F18" i="34"/>
  <c r="F17" i="34"/>
  <c r="E20" i="34"/>
  <c r="E19" i="34"/>
  <c r="E18" i="34"/>
  <c r="E17" i="34"/>
  <c r="D20" i="34"/>
  <c r="D19" i="34"/>
  <c r="D18" i="34"/>
  <c r="D17" i="34"/>
  <c r="C20" i="34"/>
  <c r="C19" i="34"/>
  <c r="C18" i="34"/>
  <c r="C17" i="34"/>
  <c r="N9" i="34"/>
  <c r="N8" i="34"/>
  <c r="N7" i="34"/>
  <c r="M9" i="34"/>
  <c r="M8" i="34"/>
  <c r="M7" i="34"/>
  <c r="L9" i="34"/>
  <c r="L8" i="34"/>
  <c r="L7" i="34"/>
  <c r="K9" i="34"/>
  <c r="K8" i="34"/>
  <c r="K7" i="34"/>
  <c r="J9" i="34"/>
  <c r="J8" i="34"/>
  <c r="J7" i="34"/>
  <c r="I9" i="34"/>
  <c r="I8" i="34"/>
  <c r="I7" i="34"/>
  <c r="H9" i="34"/>
  <c r="H8" i="34"/>
  <c r="H7" i="34"/>
  <c r="G9" i="34"/>
  <c r="G8" i="34"/>
  <c r="G7" i="34"/>
  <c r="F9" i="34"/>
  <c r="F8" i="34"/>
  <c r="F7" i="34"/>
  <c r="E9" i="34"/>
  <c r="E8" i="34"/>
  <c r="E7" i="34"/>
  <c r="D9" i="34"/>
  <c r="D8" i="34"/>
  <c r="D7" i="34"/>
  <c r="C9" i="34"/>
  <c r="C8" i="34"/>
  <c r="C7" i="34"/>
  <c r="N80" i="5"/>
  <c r="M80" i="5"/>
  <c r="L80" i="5"/>
  <c r="K80" i="5"/>
  <c r="J80" i="5"/>
  <c r="I80" i="5"/>
  <c r="H80" i="5"/>
  <c r="G80" i="5"/>
  <c r="F80" i="5"/>
  <c r="E80" i="5"/>
  <c r="D80" i="5"/>
  <c r="C80" i="5"/>
  <c r="S30" i="36"/>
  <c r="R30" i="36"/>
  <c r="Q30" i="36"/>
  <c r="P30" i="36"/>
  <c r="O30" i="36"/>
  <c r="I66" i="5"/>
  <c r="N30" i="36" s="1"/>
  <c r="M30" i="36"/>
  <c r="L30" i="36"/>
  <c r="K30" i="36"/>
  <c r="J30" i="36"/>
  <c r="I30" i="36"/>
  <c r="H30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S27" i="36"/>
  <c r="R27" i="36"/>
  <c r="Q27" i="36"/>
  <c r="P27" i="36"/>
  <c r="O27" i="36"/>
  <c r="N27" i="36"/>
  <c r="M27" i="36"/>
  <c r="L27" i="36"/>
  <c r="K27" i="36"/>
  <c r="J27" i="36"/>
  <c r="I27" i="36"/>
  <c r="H27" i="36"/>
  <c r="S13" i="36"/>
  <c r="R13" i="36"/>
  <c r="Q13" i="36"/>
  <c r="P13" i="36"/>
  <c r="O13" i="36"/>
  <c r="N13" i="36"/>
  <c r="M13" i="36"/>
  <c r="L13" i="36"/>
  <c r="K13" i="36"/>
  <c r="J13" i="36"/>
  <c r="I13" i="36"/>
  <c r="H13" i="36"/>
  <c r="N20" i="5"/>
  <c r="N19" i="5"/>
  <c r="N18" i="5"/>
  <c r="M20" i="5"/>
  <c r="M19" i="5"/>
  <c r="M18" i="5"/>
  <c r="N91" i="35"/>
  <c r="M91" i="35"/>
  <c r="L91" i="35"/>
  <c r="K91" i="35"/>
  <c r="J91" i="35"/>
  <c r="I91" i="35"/>
  <c r="H91" i="35"/>
  <c r="G91" i="35"/>
  <c r="F91" i="35"/>
  <c r="E91" i="35"/>
  <c r="D91" i="35"/>
  <c r="C91" i="35"/>
  <c r="C81" i="35"/>
  <c r="C83" i="35" s="1"/>
  <c r="C71" i="35"/>
  <c r="C73" i="35" s="1"/>
  <c r="N49" i="35"/>
  <c r="N51" i="35" s="1"/>
  <c r="M49" i="35"/>
  <c r="M51" i="35" s="1"/>
  <c r="L49" i="35"/>
  <c r="L51" i="35" s="1"/>
  <c r="K49" i="35"/>
  <c r="K51" i="35" s="1"/>
  <c r="J49" i="35"/>
  <c r="J51" i="35" s="1"/>
  <c r="I49" i="35"/>
  <c r="I51" i="35" s="1"/>
  <c r="H49" i="35"/>
  <c r="H51" i="35" s="1"/>
  <c r="G49" i="35"/>
  <c r="G51" i="35" s="1"/>
  <c r="F49" i="35"/>
  <c r="F51" i="35" s="1"/>
  <c r="E49" i="35"/>
  <c r="E51" i="35" s="1"/>
  <c r="D49" i="35"/>
  <c r="D51" i="35" s="1"/>
  <c r="C49" i="35"/>
  <c r="C51" i="35" s="1"/>
  <c r="N40" i="35"/>
  <c r="M40" i="35"/>
  <c r="L40" i="35"/>
  <c r="K40" i="35"/>
  <c r="J40" i="35"/>
  <c r="I40" i="35"/>
  <c r="H40" i="35"/>
  <c r="G40" i="35"/>
  <c r="F40" i="35"/>
  <c r="E40" i="35"/>
  <c r="D40" i="35"/>
  <c r="C40" i="35"/>
  <c r="N39" i="35"/>
  <c r="N41" i="35" s="1"/>
  <c r="M39" i="35"/>
  <c r="M41" i="35" s="1"/>
  <c r="L39" i="35"/>
  <c r="K39" i="35"/>
  <c r="K41" i="35" s="1"/>
  <c r="J39" i="35"/>
  <c r="J41" i="35" s="1"/>
  <c r="I39" i="35"/>
  <c r="H39" i="35"/>
  <c r="H41" i="35" s="1"/>
  <c r="G39" i="35"/>
  <c r="G41" i="35" s="1"/>
  <c r="F39" i="35"/>
  <c r="E39" i="35"/>
  <c r="E41" i="35" s="1"/>
  <c r="D39" i="35"/>
  <c r="D41" i="35" s="1"/>
  <c r="C39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N21" i="35"/>
  <c r="N23" i="35" s="1"/>
  <c r="M21" i="35"/>
  <c r="M23" i="35" s="1"/>
  <c r="L21" i="35"/>
  <c r="K21" i="35"/>
  <c r="K23" i="35" s="1"/>
  <c r="J21" i="35"/>
  <c r="J23" i="35" s="1"/>
  <c r="I21" i="35"/>
  <c r="H21" i="35"/>
  <c r="H23" i="35" s="1"/>
  <c r="G21" i="35"/>
  <c r="G23" i="35" s="1"/>
  <c r="F21" i="35"/>
  <c r="E21" i="35"/>
  <c r="E23" i="35" s="1"/>
  <c r="D21" i="35"/>
  <c r="D23" i="35" s="1"/>
  <c r="C21" i="35"/>
  <c r="N14" i="35"/>
  <c r="N16" i="35" s="1"/>
  <c r="M14" i="35"/>
  <c r="M16" i="35" s="1"/>
  <c r="L14" i="35"/>
  <c r="L16" i="35" s="1"/>
  <c r="K14" i="35"/>
  <c r="K16" i="35" s="1"/>
  <c r="J14" i="35"/>
  <c r="J16" i="35" s="1"/>
  <c r="I14" i="35"/>
  <c r="I16" i="35" s="1"/>
  <c r="H14" i="35"/>
  <c r="H16" i="35" s="1"/>
  <c r="G14" i="35"/>
  <c r="G16" i="35" s="1"/>
  <c r="F14" i="35"/>
  <c r="F16" i="35" s="1"/>
  <c r="E14" i="35"/>
  <c r="E16" i="35" s="1"/>
  <c r="D14" i="35"/>
  <c r="D16" i="35" s="1"/>
  <c r="C14" i="35"/>
  <c r="C16" i="35" s="1"/>
  <c r="N7" i="35"/>
  <c r="N9" i="35" s="1"/>
  <c r="M7" i="35"/>
  <c r="M9" i="35" s="1"/>
  <c r="L7" i="35"/>
  <c r="L9" i="35" s="1"/>
  <c r="K7" i="35"/>
  <c r="K9" i="35" s="1"/>
  <c r="J7" i="35"/>
  <c r="J9" i="35" s="1"/>
  <c r="I7" i="35"/>
  <c r="I9" i="35" s="1"/>
  <c r="H7" i="35"/>
  <c r="H9" i="35" s="1"/>
  <c r="G7" i="35"/>
  <c r="G9" i="35" s="1"/>
  <c r="F7" i="35"/>
  <c r="F9" i="35" s="1"/>
  <c r="E7" i="35"/>
  <c r="E9" i="35" s="1"/>
  <c r="D7" i="35"/>
  <c r="D9" i="35" s="1"/>
  <c r="C7" i="35"/>
  <c r="C9" i="35" s="1"/>
  <c r="N80" i="34"/>
  <c r="M80" i="34"/>
  <c r="L80" i="34"/>
  <c r="K80" i="34"/>
  <c r="J80" i="34"/>
  <c r="I80" i="34"/>
  <c r="H80" i="34"/>
  <c r="G80" i="34"/>
  <c r="F80" i="34"/>
  <c r="E80" i="34"/>
  <c r="D80" i="34"/>
  <c r="C80" i="34"/>
  <c r="N66" i="34"/>
  <c r="N68" i="34" s="1"/>
  <c r="M66" i="34"/>
  <c r="M68" i="34" s="1"/>
  <c r="L66" i="34"/>
  <c r="L68" i="34" s="1"/>
  <c r="K66" i="34"/>
  <c r="K68" i="34" s="1"/>
  <c r="J66" i="34"/>
  <c r="J68" i="34" s="1"/>
  <c r="I66" i="34"/>
  <c r="I68" i="34" s="1"/>
  <c r="H66" i="34"/>
  <c r="H68" i="34" s="1"/>
  <c r="G66" i="34"/>
  <c r="G68" i="34" s="1"/>
  <c r="F66" i="34"/>
  <c r="F68" i="34" s="1"/>
  <c r="E66" i="34"/>
  <c r="E68" i="34" s="1"/>
  <c r="D66" i="34"/>
  <c r="D68" i="34" s="1"/>
  <c r="C66" i="34"/>
  <c r="C68" i="34" s="1"/>
  <c r="N56" i="34"/>
  <c r="N58" i="34" s="1"/>
  <c r="M56" i="34"/>
  <c r="M58" i="34" s="1"/>
  <c r="L56" i="34"/>
  <c r="L58" i="34" s="1"/>
  <c r="K56" i="34"/>
  <c r="K58" i="34" s="1"/>
  <c r="J56" i="34"/>
  <c r="J58" i="34" s="1"/>
  <c r="I56" i="34"/>
  <c r="I58" i="34" s="1"/>
  <c r="H56" i="34"/>
  <c r="H58" i="34" s="1"/>
  <c r="G56" i="34"/>
  <c r="G58" i="34" s="1"/>
  <c r="F56" i="34"/>
  <c r="F58" i="34" s="1"/>
  <c r="E56" i="34"/>
  <c r="E58" i="34" s="1"/>
  <c r="D56" i="34"/>
  <c r="D58" i="34" s="1"/>
  <c r="C56" i="34"/>
  <c r="C58" i="34" s="1"/>
  <c r="N46" i="34"/>
  <c r="N48" i="34" s="1"/>
  <c r="M46" i="34"/>
  <c r="M48" i="34" s="1"/>
  <c r="L46" i="34"/>
  <c r="L48" i="34" s="1"/>
  <c r="K46" i="34"/>
  <c r="K48" i="34" s="1"/>
  <c r="J46" i="34"/>
  <c r="J48" i="34" s="1"/>
  <c r="I46" i="34"/>
  <c r="I48" i="34" s="1"/>
  <c r="H46" i="34"/>
  <c r="H48" i="34" s="1"/>
  <c r="G46" i="34"/>
  <c r="G48" i="34" s="1"/>
  <c r="F46" i="34"/>
  <c r="F48" i="34" s="1"/>
  <c r="E46" i="34"/>
  <c r="E48" i="34" s="1"/>
  <c r="D46" i="34"/>
  <c r="D48" i="34" s="1"/>
  <c r="C46" i="34"/>
  <c r="C48" i="34" s="1"/>
  <c r="N33" i="34"/>
  <c r="N35" i="34" s="1"/>
  <c r="M33" i="34"/>
  <c r="M35" i="34" s="1"/>
  <c r="L33" i="34"/>
  <c r="L35" i="34" s="1"/>
  <c r="K33" i="34"/>
  <c r="K35" i="34" s="1"/>
  <c r="J33" i="34"/>
  <c r="J35" i="34" s="1"/>
  <c r="I33" i="34"/>
  <c r="I35" i="34" s="1"/>
  <c r="H33" i="34"/>
  <c r="H35" i="34" s="1"/>
  <c r="G33" i="34"/>
  <c r="G35" i="34" s="1"/>
  <c r="F33" i="34"/>
  <c r="F35" i="34" s="1"/>
  <c r="E33" i="34"/>
  <c r="E35" i="34" s="1"/>
  <c r="D33" i="34"/>
  <c r="D35" i="34" s="1"/>
  <c r="C33" i="34"/>
  <c r="C35" i="34" s="1"/>
  <c r="N20" i="34"/>
  <c r="M20" i="34"/>
  <c r="N19" i="34"/>
  <c r="M19" i="34"/>
  <c r="N18" i="34"/>
  <c r="M18" i="34"/>
  <c r="N17" i="34"/>
  <c r="N21" i="34" s="1"/>
  <c r="N23" i="34" s="1"/>
  <c r="M17" i="34"/>
  <c r="L20" i="5"/>
  <c r="L19" i="5"/>
  <c r="L18" i="5"/>
  <c r="K20" i="5"/>
  <c r="K19" i="5"/>
  <c r="K18" i="5"/>
  <c r="J20" i="5"/>
  <c r="J19" i="5"/>
  <c r="J18" i="5"/>
  <c r="I20" i="5"/>
  <c r="I19" i="5"/>
  <c r="I18" i="5"/>
  <c r="H20" i="5"/>
  <c r="H19" i="5"/>
  <c r="H18" i="5"/>
  <c r="G20" i="5"/>
  <c r="G19" i="5"/>
  <c r="G18" i="5"/>
  <c r="F20" i="5"/>
  <c r="F18" i="5"/>
  <c r="E20" i="5"/>
  <c r="E19" i="5"/>
  <c r="E18" i="5"/>
  <c r="D20" i="5"/>
  <c r="D19" i="5"/>
  <c r="D18" i="5"/>
  <c r="C20" i="5"/>
  <c r="C19" i="5"/>
  <c r="C18" i="5"/>
  <c r="N9" i="5"/>
  <c r="N8" i="5"/>
  <c r="N7" i="5"/>
  <c r="M9" i="5"/>
  <c r="M8" i="5"/>
  <c r="M7" i="5"/>
  <c r="L9" i="5"/>
  <c r="L8" i="5"/>
  <c r="L7" i="5"/>
  <c r="K9" i="5"/>
  <c r="K8" i="5"/>
  <c r="K7" i="5"/>
  <c r="J9" i="5"/>
  <c r="J8" i="5"/>
  <c r="J7" i="5"/>
  <c r="I9" i="5"/>
  <c r="I8" i="5"/>
  <c r="I7" i="5"/>
  <c r="H9" i="5"/>
  <c r="H8" i="5"/>
  <c r="H7" i="5"/>
  <c r="G9" i="5"/>
  <c r="G8" i="5"/>
  <c r="G7" i="5"/>
  <c r="F9" i="5"/>
  <c r="F8" i="5"/>
  <c r="F7" i="5"/>
  <c r="E9" i="5"/>
  <c r="E8" i="5"/>
  <c r="E7" i="5"/>
  <c r="D9" i="5"/>
  <c r="D8" i="5"/>
  <c r="D7" i="5"/>
  <c r="C9" i="5"/>
  <c r="C8" i="5"/>
  <c r="C7" i="5"/>
  <c r="C85" i="1"/>
  <c r="S44" i="36" s="1"/>
  <c r="C75" i="1"/>
  <c r="S43" i="36" s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M39" i="1"/>
  <c r="I39" i="1"/>
  <c r="G39" i="1"/>
  <c r="F39" i="1"/>
  <c r="N17" i="1"/>
  <c r="M17" i="1"/>
  <c r="L17" i="1"/>
  <c r="K17" i="1"/>
  <c r="J17" i="1"/>
  <c r="I17" i="1"/>
  <c r="H17" i="1"/>
  <c r="G17" i="1"/>
  <c r="F17" i="1"/>
  <c r="E17" i="1"/>
  <c r="D17" i="1"/>
  <c r="N18" i="1"/>
  <c r="M18" i="1"/>
  <c r="L18" i="1"/>
  <c r="K18" i="1"/>
  <c r="J18" i="1"/>
  <c r="I18" i="1"/>
  <c r="H18" i="1"/>
  <c r="G18" i="1"/>
  <c r="F18" i="1"/>
  <c r="E18" i="1"/>
  <c r="D18" i="1"/>
  <c r="C18" i="1"/>
  <c r="C17" i="1"/>
  <c r="N8" i="1"/>
  <c r="M8" i="1"/>
  <c r="L8" i="1"/>
  <c r="K8" i="1"/>
  <c r="J8" i="1"/>
  <c r="I8" i="1"/>
  <c r="H8" i="1"/>
  <c r="G8" i="1"/>
  <c r="F8" i="1"/>
  <c r="E8" i="1"/>
  <c r="D8" i="1"/>
  <c r="C8" i="1"/>
  <c r="N90" i="4"/>
  <c r="S33" i="36" s="1"/>
  <c r="N89" i="4"/>
  <c r="S32" i="36" s="1"/>
  <c r="M90" i="4"/>
  <c r="R33" i="36" s="1"/>
  <c r="M89" i="4"/>
  <c r="R32" i="36" s="1"/>
  <c r="L90" i="4"/>
  <c r="Q33" i="36" s="1"/>
  <c r="L89" i="4"/>
  <c r="Q32" i="36" s="1"/>
  <c r="K90" i="4"/>
  <c r="P33" i="36" s="1"/>
  <c r="K89" i="4"/>
  <c r="P32" i="36" s="1"/>
  <c r="I90" i="4"/>
  <c r="N33" i="36" s="1"/>
  <c r="J90" i="4"/>
  <c r="O33" i="36" s="1"/>
  <c r="J89" i="4"/>
  <c r="O32" i="36" s="1"/>
  <c r="I89" i="4"/>
  <c r="N32" i="36" s="1"/>
  <c r="H90" i="4"/>
  <c r="M33" i="36" s="1"/>
  <c r="H89" i="4"/>
  <c r="M32" i="36" s="1"/>
  <c r="G90" i="4"/>
  <c r="L33" i="36" s="1"/>
  <c r="G89" i="4"/>
  <c r="L32" i="36" s="1"/>
  <c r="F90" i="4"/>
  <c r="K33" i="36" s="1"/>
  <c r="F89" i="4"/>
  <c r="K32" i="36" s="1"/>
  <c r="E90" i="4"/>
  <c r="J33" i="36" s="1"/>
  <c r="E89" i="4"/>
  <c r="J32" i="36" s="1"/>
  <c r="D90" i="4"/>
  <c r="I33" i="36" s="1"/>
  <c r="D89" i="4"/>
  <c r="I32" i="36" s="1"/>
  <c r="C90" i="4"/>
  <c r="H33" i="36" s="1"/>
  <c r="C89" i="4"/>
  <c r="H32" i="36" s="1"/>
  <c r="N77" i="4"/>
  <c r="N76" i="4"/>
  <c r="N75" i="4"/>
  <c r="M77" i="4"/>
  <c r="M76" i="4"/>
  <c r="M75" i="4"/>
  <c r="L77" i="4"/>
  <c r="L76" i="4"/>
  <c r="L75" i="4"/>
  <c r="K77" i="4"/>
  <c r="K76" i="4"/>
  <c r="K75" i="4"/>
  <c r="J77" i="4"/>
  <c r="J76" i="4"/>
  <c r="J75" i="4"/>
  <c r="I76" i="4"/>
  <c r="I77" i="4"/>
  <c r="I75" i="4"/>
  <c r="H77" i="4"/>
  <c r="H76" i="4"/>
  <c r="H75" i="4"/>
  <c r="G77" i="4"/>
  <c r="G76" i="4"/>
  <c r="G75" i="4"/>
  <c r="F77" i="4"/>
  <c r="F76" i="4"/>
  <c r="F75" i="4"/>
  <c r="E77" i="4"/>
  <c r="E76" i="4"/>
  <c r="E75" i="4"/>
  <c r="D77" i="4"/>
  <c r="D76" i="4"/>
  <c r="D75" i="4"/>
  <c r="C77" i="4"/>
  <c r="C76" i="4"/>
  <c r="C75" i="4"/>
  <c r="N54" i="4"/>
  <c r="S18" i="36" s="1"/>
  <c r="M54" i="4"/>
  <c r="R18" i="36" s="1"/>
  <c r="L54" i="4"/>
  <c r="Q18" i="36" s="1"/>
  <c r="K54" i="4"/>
  <c r="P18" i="36" s="1"/>
  <c r="J54" i="4"/>
  <c r="O18" i="36" s="1"/>
  <c r="I54" i="4"/>
  <c r="N18" i="36" s="1"/>
  <c r="H54" i="4"/>
  <c r="M18" i="36" s="1"/>
  <c r="G54" i="4"/>
  <c r="L18" i="36" s="1"/>
  <c r="F54" i="4"/>
  <c r="K18" i="36" s="1"/>
  <c r="E54" i="4"/>
  <c r="J18" i="36" s="1"/>
  <c r="D54" i="4"/>
  <c r="I18" i="36" s="1"/>
  <c r="C54" i="4"/>
  <c r="H18" i="36" s="1"/>
  <c r="N46" i="4"/>
  <c r="M46" i="4"/>
  <c r="L46" i="4"/>
  <c r="K46" i="4"/>
  <c r="J46" i="4"/>
  <c r="I46" i="4"/>
  <c r="H46" i="4"/>
  <c r="G46" i="4"/>
  <c r="F46" i="4"/>
  <c r="E46" i="4"/>
  <c r="D46" i="4"/>
  <c r="C46" i="4"/>
  <c r="N36" i="4"/>
  <c r="M36" i="4"/>
  <c r="L36" i="4"/>
  <c r="K36" i="4"/>
  <c r="J36" i="4"/>
  <c r="I36" i="4"/>
  <c r="H36" i="4"/>
  <c r="G36" i="4"/>
  <c r="F36" i="4"/>
  <c r="E36" i="4"/>
  <c r="D36" i="4"/>
  <c r="C36" i="4"/>
  <c r="N27" i="4"/>
  <c r="N26" i="4"/>
  <c r="M27" i="4"/>
  <c r="M26" i="4"/>
  <c r="L27" i="4"/>
  <c r="L26" i="4"/>
  <c r="K27" i="4"/>
  <c r="K26" i="4"/>
  <c r="J27" i="4"/>
  <c r="J26" i="4"/>
  <c r="I27" i="4"/>
  <c r="I26" i="4"/>
  <c r="H27" i="4"/>
  <c r="H26" i="4"/>
  <c r="G27" i="4"/>
  <c r="G26" i="4"/>
  <c r="F27" i="4"/>
  <c r="F26" i="4"/>
  <c r="E27" i="4"/>
  <c r="E26" i="4"/>
  <c r="D27" i="4"/>
  <c r="D26" i="4"/>
  <c r="C27" i="4"/>
  <c r="C26" i="4"/>
  <c r="N19" i="4"/>
  <c r="S19" i="36" s="1"/>
  <c r="K19" i="4"/>
  <c r="P19" i="36" s="1"/>
  <c r="H19" i="4"/>
  <c r="M19" i="36" s="1"/>
  <c r="J19" i="36"/>
  <c r="N17" i="4"/>
  <c r="M17" i="4"/>
  <c r="L17" i="4"/>
  <c r="K17" i="4"/>
  <c r="J17" i="4"/>
  <c r="I17" i="4"/>
  <c r="H17" i="4"/>
  <c r="G17" i="4"/>
  <c r="F17" i="4"/>
  <c r="E17" i="4"/>
  <c r="D17" i="4"/>
  <c r="C17" i="4"/>
  <c r="N12" i="4"/>
  <c r="M12" i="4"/>
  <c r="L12" i="4"/>
  <c r="K12" i="4"/>
  <c r="J12" i="4"/>
  <c r="I12" i="4"/>
  <c r="H12" i="4"/>
  <c r="G12" i="4"/>
  <c r="F12" i="4"/>
  <c r="E12" i="4"/>
  <c r="D12" i="4"/>
  <c r="C12" i="4"/>
  <c r="N11" i="4"/>
  <c r="M11" i="4"/>
  <c r="L11" i="4"/>
  <c r="K11" i="4"/>
  <c r="J11" i="4"/>
  <c r="I11" i="4"/>
  <c r="H11" i="4"/>
  <c r="G11" i="4"/>
  <c r="F11" i="4"/>
  <c r="E11" i="4"/>
  <c r="D11" i="4"/>
  <c r="C11" i="4"/>
  <c r="N8" i="4"/>
  <c r="N7" i="4"/>
  <c r="M8" i="4"/>
  <c r="M7" i="4"/>
  <c r="L8" i="4"/>
  <c r="L7" i="4"/>
  <c r="K8" i="4"/>
  <c r="K7" i="4"/>
  <c r="J8" i="4"/>
  <c r="J7" i="4"/>
  <c r="I8" i="4"/>
  <c r="I7" i="4"/>
  <c r="H8" i="4"/>
  <c r="H7" i="4"/>
  <c r="G8" i="4"/>
  <c r="G7" i="4"/>
  <c r="F8" i="4"/>
  <c r="F7" i="4"/>
  <c r="E8" i="4"/>
  <c r="E7" i="4"/>
  <c r="D8" i="4"/>
  <c r="D7" i="4"/>
  <c r="C8" i="4"/>
  <c r="C7" i="4"/>
  <c r="M12" i="18"/>
  <c r="L12" i="18"/>
  <c r="K12" i="18"/>
  <c r="J12" i="18"/>
  <c r="I12" i="18"/>
  <c r="H12" i="18"/>
  <c r="G12" i="18"/>
  <c r="F12" i="18"/>
  <c r="E12" i="18"/>
  <c r="D12" i="18"/>
  <c r="C12" i="18"/>
  <c r="B12" i="18"/>
  <c r="N90" i="33"/>
  <c r="N94" i="33" s="1"/>
  <c r="M90" i="33"/>
  <c r="M94" i="33" s="1"/>
  <c r="L90" i="33"/>
  <c r="L94" i="33" s="1"/>
  <c r="K90" i="33"/>
  <c r="K94" i="33" s="1"/>
  <c r="J90" i="33"/>
  <c r="J94" i="33" s="1"/>
  <c r="I90" i="33"/>
  <c r="I94" i="33" s="1"/>
  <c r="H90" i="33"/>
  <c r="H94" i="33" s="1"/>
  <c r="G90" i="33"/>
  <c r="G94" i="33" s="1"/>
  <c r="F90" i="33"/>
  <c r="F94" i="33" s="1"/>
  <c r="E90" i="33"/>
  <c r="E94" i="33" s="1"/>
  <c r="D90" i="33"/>
  <c r="D94" i="33" s="1"/>
  <c r="C90" i="33"/>
  <c r="C94" i="33" s="1"/>
  <c r="N89" i="33"/>
  <c r="N93" i="33" s="1"/>
  <c r="M89" i="33"/>
  <c r="M93" i="33" s="1"/>
  <c r="L89" i="33"/>
  <c r="L93" i="33" s="1"/>
  <c r="K89" i="33"/>
  <c r="K93" i="33" s="1"/>
  <c r="J89" i="33"/>
  <c r="J93" i="33" s="1"/>
  <c r="I89" i="33"/>
  <c r="I93" i="33" s="1"/>
  <c r="H89" i="33"/>
  <c r="H93" i="33" s="1"/>
  <c r="G89" i="33"/>
  <c r="G93" i="33" s="1"/>
  <c r="F89" i="33"/>
  <c r="F93" i="33" s="1"/>
  <c r="E89" i="33"/>
  <c r="E93" i="33" s="1"/>
  <c r="D89" i="33"/>
  <c r="D93" i="33" s="1"/>
  <c r="C89" i="33"/>
  <c r="C93" i="33" s="1"/>
  <c r="N77" i="33"/>
  <c r="M77" i="33"/>
  <c r="L77" i="33"/>
  <c r="K77" i="33"/>
  <c r="J77" i="33"/>
  <c r="I77" i="33"/>
  <c r="H77" i="33"/>
  <c r="G77" i="33"/>
  <c r="F77" i="33"/>
  <c r="E77" i="33"/>
  <c r="D77" i="33"/>
  <c r="C77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N75" i="33"/>
  <c r="N78" i="33" s="1"/>
  <c r="M75" i="33"/>
  <c r="M78" i="33" s="1"/>
  <c r="L75" i="33"/>
  <c r="K75" i="33"/>
  <c r="K78" i="33" s="1"/>
  <c r="J75" i="33"/>
  <c r="I75" i="33"/>
  <c r="H75" i="33"/>
  <c r="H78" i="33" s="1"/>
  <c r="G75" i="33"/>
  <c r="G78" i="33" s="1"/>
  <c r="F75" i="33"/>
  <c r="E75" i="33"/>
  <c r="E78" i="33" s="1"/>
  <c r="D75" i="33"/>
  <c r="D78" i="33" s="1"/>
  <c r="C75" i="33"/>
  <c r="N54" i="33"/>
  <c r="N56" i="33" s="1"/>
  <c r="M54" i="33"/>
  <c r="M56" i="33" s="1"/>
  <c r="L54" i="33"/>
  <c r="L56" i="33" s="1"/>
  <c r="K54" i="33"/>
  <c r="K56" i="33" s="1"/>
  <c r="J54" i="33"/>
  <c r="J56" i="33" s="1"/>
  <c r="I54" i="33"/>
  <c r="I56" i="33" s="1"/>
  <c r="H54" i="33"/>
  <c r="H56" i="33" s="1"/>
  <c r="G54" i="33"/>
  <c r="G56" i="33" s="1"/>
  <c r="F54" i="33"/>
  <c r="F56" i="33" s="1"/>
  <c r="E54" i="33"/>
  <c r="E56" i="33" s="1"/>
  <c r="D54" i="33"/>
  <c r="D56" i="33" s="1"/>
  <c r="C54" i="33"/>
  <c r="C56" i="33" s="1"/>
  <c r="N46" i="33"/>
  <c r="M46" i="33"/>
  <c r="L46" i="33"/>
  <c r="K46" i="33"/>
  <c r="J46" i="33"/>
  <c r="I46" i="33"/>
  <c r="H46" i="33"/>
  <c r="G46" i="33"/>
  <c r="F46" i="33"/>
  <c r="E46" i="33"/>
  <c r="D46" i="33"/>
  <c r="C4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N19" i="33"/>
  <c r="N21" i="33" s="1"/>
  <c r="K19" i="33"/>
  <c r="K21" i="33" s="1"/>
  <c r="H19" i="33"/>
  <c r="H21" i="33" s="1"/>
  <c r="E19" i="33"/>
  <c r="E21" i="33" s="1"/>
  <c r="N17" i="33"/>
  <c r="M17" i="33"/>
  <c r="L17" i="33"/>
  <c r="K17" i="33"/>
  <c r="J17" i="33"/>
  <c r="I17" i="33"/>
  <c r="H17" i="33"/>
  <c r="G17" i="33"/>
  <c r="F17" i="33"/>
  <c r="E17" i="33"/>
  <c r="D17" i="33"/>
  <c r="C17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N8" i="33"/>
  <c r="M8" i="33"/>
  <c r="L8" i="33"/>
  <c r="K8" i="33"/>
  <c r="J8" i="33"/>
  <c r="I8" i="33"/>
  <c r="H8" i="33"/>
  <c r="G8" i="33"/>
  <c r="F8" i="33"/>
  <c r="E8" i="33"/>
  <c r="D8" i="33"/>
  <c r="C8" i="33"/>
  <c r="N7" i="33"/>
  <c r="M7" i="33"/>
  <c r="L7" i="33"/>
  <c r="K7" i="33"/>
  <c r="J7" i="33"/>
  <c r="I7" i="33"/>
  <c r="H7" i="33"/>
  <c r="G7" i="33"/>
  <c r="F7" i="33"/>
  <c r="E7" i="33"/>
  <c r="D7" i="33"/>
  <c r="C7" i="33"/>
  <c r="C72" i="32"/>
  <c r="C74" i="32" s="1"/>
  <c r="C62" i="32"/>
  <c r="C64" i="32" s="1"/>
  <c r="N52" i="32"/>
  <c r="M52" i="32"/>
  <c r="L52" i="32"/>
  <c r="K52" i="32"/>
  <c r="J52" i="32"/>
  <c r="I52" i="32"/>
  <c r="H52" i="32"/>
  <c r="G52" i="32"/>
  <c r="F52" i="32"/>
  <c r="E52" i="32"/>
  <c r="D52" i="32"/>
  <c r="C52" i="32"/>
  <c r="N43" i="32"/>
  <c r="M43" i="32"/>
  <c r="N44" i="32" s="1"/>
  <c r="L43" i="32"/>
  <c r="K43" i="32"/>
  <c r="L44" i="32" s="1"/>
  <c r="J43" i="32"/>
  <c r="I43" i="32"/>
  <c r="J44" i="32" s="1"/>
  <c r="H43" i="32"/>
  <c r="G43" i="32"/>
  <c r="H44" i="32" s="1"/>
  <c r="F43" i="32"/>
  <c r="E43" i="32"/>
  <c r="F44" i="32" s="1"/>
  <c r="D43" i="32"/>
  <c r="C43" i="32"/>
  <c r="D44" i="32" s="1"/>
  <c r="N35" i="32"/>
  <c r="N38" i="32" s="1"/>
  <c r="M35" i="32"/>
  <c r="L35" i="32"/>
  <c r="K35" i="32"/>
  <c r="J35" i="32"/>
  <c r="I35" i="32"/>
  <c r="H35" i="32"/>
  <c r="G35" i="32"/>
  <c r="F35" i="32"/>
  <c r="E35" i="32"/>
  <c r="D35" i="32"/>
  <c r="C35" i="32"/>
  <c r="N27" i="32"/>
  <c r="N30" i="32" s="1"/>
  <c r="M27" i="32"/>
  <c r="L27" i="32"/>
  <c r="K27" i="32"/>
  <c r="J27" i="32"/>
  <c r="I27" i="32"/>
  <c r="H27" i="32"/>
  <c r="G27" i="32"/>
  <c r="F27" i="32"/>
  <c r="E27" i="32"/>
  <c r="D27" i="32"/>
  <c r="C27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N17" i="32"/>
  <c r="N19" i="32" s="1"/>
  <c r="N22" i="32" s="1"/>
  <c r="M17" i="32"/>
  <c r="M19" i="32" s="1"/>
  <c r="L17" i="32"/>
  <c r="K17" i="32"/>
  <c r="K19" i="32" s="1"/>
  <c r="J17" i="32"/>
  <c r="J19" i="32" s="1"/>
  <c r="I17" i="32"/>
  <c r="H17" i="32"/>
  <c r="H19" i="32" s="1"/>
  <c r="G17" i="32"/>
  <c r="G19" i="32" s="1"/>
  <c r="F17" i="32"/>
  <c r="E17" i="32"/>
  <c r="E19" i="32" s="1"/>
  <c r="D17" i="32"/>
  <c r="D19" i="32" s="1"/>
  <c r="C17" i="32"/>
  <c r="N8" i="32"/>
  <c r="M8" i="32"/>
  <c r="L8" i="32"/>
  <c r="K8" i="32"/>
  <c r="J8" i="32"/>
  <c r="I8" i="32"/>
  <c r="H8" i="32"/>
  <c r="G8" i="32"/>
  <c r="F8" i="32"/>
  <c r="E8" i="32"/>
  <c r="D8" i="32"/>
  <c r="C8" i="32"/>
  <c r="W251" i="7"/>
  <c r="W250" i="7"/>
  <c r="W249" i="7"/>
  <c r="W248" i="7"/>
  <c r="W247" i="7"/>
  <c r="W243" i="7"/>
  <c r="Y243" i="7" s="1"/>
  <c r="W241" i="7"/>
  <c r="W240" i="7"/>
  <c r="Y240" i="7" s="1"/>
  <c r="W239" i="7"/>
  <c r="V251" i="7"/>
  <c r="V250" i="7"/>
  <c r="V249" i="7"/>
  <c r="V248" i="7"/>
  <c r="V247" i="7"/>
  <c r="V243" i="7"/>
  <c r="X243" i="7" s="1"/>
  <c r="V241" i="7"/>
  <c r="V240" i="7"/>
  <c r="V239" i="7"/>
  <c r="S247" i="7"/>
  <c r="S248" i="7"/>
  <c r="S249" i="7"/>
  <c r="S250" i="7"/>
  <c r="S251" i="7"/>
  <c r="R251" i="7"/>
  <c r="R250" i="7"/>
  <c r="R249" i="7"/>
  <c r="R248" i="7"/>
  <c r="R247" i="7"/>
  <c r="S239" i="7"/>
  <c r="S240" i="7"/>
  <c r="S241" i="7"/>
  <c r="S243" i="7"/>
  <c r="R243" i="7"/>
  <c r="R241" i="7"/>
  <c r="R240" i="7"/>
  <c r="R239" i="7"/>
  <c r="O251" i="7"/>
  <c r="O250" i="7"/>
  <c r="O249" i="7"/>
  <c r="O248" i="7"/>
  <c r="O247" i="7"/>
  <c r="N251" i="7"/>
  <c r="N250" i="7"/>
  <c r="N249" i="7"/>
  <c r="N248" i="7"/>
  <c r="N247" i="7"/>
  <c r="O243" i="7"/>
  <c r="Q243" i="7" s="1"/>
  <c r="O241" i="7"/>
  <c r="O240" i="7"/>
  <c r="O239" i="7"/>
  <c r="N243" i="7"/>
  <c r="N241" i="7"/>
  <c r="N240" i="7"/>
  <c r="N239" i="7"/>
  <c r="AB210" i="7"/>
  <c r="AB209" i="7"/>
  <c r="AA209" i="7"/>
  <c r="AB206" i="7"/>
  <c r="AB202" i="7"/>
  <c r="AB198" i="7"/>
  <c r="AB194" i="7"/>
  <c r="AB190" i="7"/>
  <c r="AB186" i="7"/>
  <c r="AB182" i="7"/>
  <c r="AB178" i="7"/>
  <c r="AB174" i="7"/>
  <c r="AA206" i="7"/>
  <c r="AA202" i="7"/>
  <c r="AA198" i="7"/>
  <c r="AA194" i="7"/>
  <c r="AA190" i="7"/>
  <c r="AA186" i="7"/>
  <c r="AA182" i="7"/>
  <c r="AA178" i="7"/>
  <c r="AA174" i="7"/>
  <c r="AB170" i="7"/>
  <c r="AA170" i="7"/>
  <c r="AB208" i="7"/>
  <c r="AB204" i="7"/>
  <c r="AB200" i="7"/>
  <c r="AB196" i="7"/>
  <c r="AB192" i="7"/>
  <c r="AB188" i="7"/>
  <c r="AB184" i="7"/>
  <c r="AB180" i="7"/>
  <c r="AB176" i="7"/>
  <c r="AB172" i="7"/>
  <c r="AA208" i="7"/>
  <c r="AA204" i="7"/>
  <c r="AA200" i="7"/>
  <c r="AA196" i="7"/>
  <c r="AA192" i="7"/>
  <c r="AA188" i="7"/>
  <c r="AA184" i="7"/>
  <c r="AA180" i="7"/>
  <c r="AA176" i="7"/>
  <c r="AA172" i="7"/>
  <c r="AB168" i="7"/>
  <c r="AB159" i="7"/>
  <c r="AB158" i="7"/>
  <c r="AA159" i="7"/>
  <c r="AA158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6" i="7"/>
  <c r="AB97" i="7"/>
  <c r="AB98" i="7"/>
  <c r="AB99" i="7"/>
  <c r="AB100" i="7"/>
  <c r="AB101" i="7"/>
  <c r="AB102" i="7"/>
  <c r="AB103" i="7"/>
  <c r="AB104" i="7"/>
  <c r="AB105" i="7"/>
  <c r="AB107" i="7"/>
  <c r="AB108" i="7"/>
  <c r="AB110" i="7"/>
  <c r="AB111" i="7"/>
  <c r="AB112" i="7"/>
  <c r="AB113" i="7"/>
  <c r="AB114" i="7"/>
  <c r="AB115" i="7"/>
  <c r="AB116" i="7"/>
  <c r="AB117" i="7"/>
  <c r="AB118" i="7"/>
  <c r="AB119" i="7"/>
  <c r="AB120" i="7"/>
  <c r="AB121" i="7"/>
  <c r="AB122" i="7"/>
  <c r="AB123" i="7"/>
  <c r="AB125" i="7"/>
  <c r="AB144" i="7"/>
  <c r="AB145" i="7"/>
  <c r="AB146" i="7"/>
  <c r="AB147" i="7"/>
  <c r="AB148" i="7"/>
  <c r="AB149" i="7"/>
  <c r="AB150" i="7"/>
  <c r="AB151" i="7"/>
  <c r="AB152" i="7"/>
  <c r="AB153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6" i="7"/>
  <c r="AA97" i="7"/>
  <c r="AA98" i="7"/>
  <c r="AA99" i="7"/>
  <c r="AA100" i="7"/>
  <c r="AA101" i="7"/>
  <c r="AA102" i="7"/>
  <c r="AA103" i="7"/>
  <c r="AA104" i="7"/>
  <c r="AA105" i="7"/>
  <c r="AA107" i="7"/>
  <c r="AA108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5" i="7"/>
  <c r="AA144" i="7"/>
  <c r="AA145" i="7"/>
  <c r="AA146" i="7"/>
  <c r="AA147" i="7"/>
  <c r="AA148" i="7"/>
  <c r="AA149" i="7"/>
  <c r="AA150" i="7"/>
  <c r="AA151" i="7"/>
  <c r="AA152" i="7"/>
  <c r="AA153" i="7"/>
  <c r="AB79" i="7"/>
  <c r="AA79" i="7"/>
  <c r="AA63" i="7"/>
  <c r="AB63" i="7"/>
  <c r="AB61" i="7"/>
  <c r="AA61" i="7"/>
  <c r="AA64" i="7"/>
  <c r="AA62" i="7"/>
  <c r="AA60" i="7"/>
  <c r="AB55" i="7"/>
  <c r="AB56" i="7"/>
  <c r="AB57" i="7"/>
  <c r="AA55" i="7"/>
  <c r="S24" i="36" s="1"/>
  <c r="AA56" i="7"/>
  <c r="S38" i="36" s="1"/>
  <c r="AA57" i="7"/>
  <c r="AB54" i="7"/>
  <c r="C60" i="35" s="1"/>
  <c r="C62" i="35" s="1"/>
  <c r="AA54" i="7"/>
  <c r="AB51" i="7"/>
  <c r="AA51" i="7"/>
  <c r="AA53" i="7"/>
  <c r="AB53" i="7"/>
  <c r="AB52" i="7"/>
  <c r="AA52" i="7"/>
  <c r="AB47" i="7"/>
  <c r="AB48" i="7"/>
  <c r="AB50" i="7"/>
  <c r="AB46" i="7"/>
  <c r="AA47" i="7"/>
  <c r="AA48" i="7"/>
  <c r="AA50" i="7"/>
  <c r="AA46" i="7"/>
  <c r="AB24" i="7"/>
  <c r="AB25" i="7"/>
  <c r="AB27" i="7"/>
  <c r="AB28" i="7"/>
  <c r="AB29" i="7"/>
  <c r="AB30" i="7"/>
  <c r="AB31" i="7"/>
  <c r="AB32" i="7"/>
  <c r="AB33" i="7"/>
  <c r="AB23" i="7"/>
  <c r="AA24" i="7"/>
  <c r="AA25" i="7"/>
  <c r="AA27" i="7"/>
  <c r="AA28" i="7"/>
  <c r="AA29" i="7"/>
  <c r="AA30" i="7"/>
  <c r="AA31" i="7"/>
  <c r="AA32" i="7"/>
  <c r="AA33" i="7"/>
  <c r="AA34" i="7"/>
  <c r="AA23" i="7"/>
  <c r="AB37" i="7"/>
  <c r="AB36" i="7"/>
  <c r="AA37" i="7"/>
  <c r="AA36" i="7"/>
  <c r="AB22" i="7"/>
  <c r="AA22" i="7"/>
  <c r="AB4" i="7"/>
  <c r="AB6" i="7"/>
  <c r="AB11" i="7"/>
  <c r="AB13" i="7"/>
  <c r="AB14" i="7"/>
  <c r="AB15" i="7"/>
  <c r="AB16" i="7"/>
  <c r="AB17" i="7"/>
  <c r="AB18" i="7"/>
  <c r="AB3" i="7"/>
  <c r="C34" i="40" s="1"/>
  <c r="AA4" i="7"/>
  <c r="AA6" i="7"/>
  <c r="AA11" i="7"/>
  <c r="AA12" i="7"/>
  <c r="AA13" i="7"/>
  <c r="AA14" i="7"/>
  <c r="AA15" i="7"/>
  <c r="AA16" i="7"/>
  <c r="AA17" i="7"/>
  <c r="AA18" i="7"/>
  <c r="AA3" i="7"/>
  <c r="C34" i="9" s="1"/>
  <c r="K262" i="7"/>
  <c r="K251" i="7"/>
  <c r="K250" i="7"/>
  <c r="K249" i="7"/>
  <c r="K248" i="7"/>
  <c r="K247" i="7"/>
  <c r="J251" i="7"/>
  <c r="J250" i="7"/>
  <c r="J249" i="7"/>
  <c r="J248" i="7"/>
  <c r="J247" i="7"/>
  <c r="K243" i="7"/>
  <c r="K241" i="7"/>
  <c r="K240" i="7"/>
  <c r="K239" i="7"/>
  <c r="J243" i="7"/>
  <c r="J241" i="7"/>
  <c r="J240" i="7"/>
  <c r="J239" i="7"/>
  <c r="Z212" i="7"/>
  <c r="Z8" i="7" s="1"/>
  <c r="N68" i="33" s="1"/>
  <c r="N70" i="33" s="1"/>
  <c r="Y212" i="7"/>
  <c r="Y8" i="7" s="1"/>
  <c r="N68" i="4" s="1"/>
  <c r="S21" i="36" s="1"/>
  <c r="X212" i="7"/>
  <c r="X8" i="7" s="1"/>
  <c r="M68" i="33" s="1"/>
  <c r="M70" i="33" s="1"/>
  <c r="W212" i="7"/>
  <c r="W8" i="7" s="1"/>
  <c r="M68" i="4" s="1"/>
  <c r="R21" i="36" s="1"/>
  <c r="V212" i="7"/>
  <c r="V8" i="7" s="1"/>
  <c r="L68" i="33" s="1"/>
  <c r="L70" i="33" s="1"/>
  <c r="U212" i="7"/>
  <c r="U8" i="7" s="1"/>
  <c r="L68" i="4" s="1"/>
  <c r="Q21" i="36" s="1"/>
  <c r="T212" i="7"/>
  <c r="T8" i="7" s="1"/>
  <c r="K68" i="33" s="1"/>
  <c r="K70" i="33" s="1"/>
  <c r="S212" i="7"/>
  <c r="S8" i="7" s="1"/>
  <c r="K68" i="4" s="1"/>
  <c r="P21" i="36" s="1"/>
  <c r="R212" i="7"/>
  <c r="R8" i="7" s="1"/>
  <c r="J68" i="33" s="1"/>
  <c r="J70" i="33" s="1"/>
  <c r="Q212" i="7"/>
  <c r="Q8" i="7" s="1"/>
  <c r="J68" i="4" s="1"/>
  <c r="O21" i="36" s="1"/>
  <c r="Z211" i="7"/>
  <c r="Z7" i="7" s="1"/>
  <c r="N61" i="33" s="1"/>
  <c r="N63" i="33" s="1"/>
  <c r="Y211" i="7"/>
  <c r="Y7" i="7" s="1"/>
  <c r="N61" i="4" s="1"/>
  <c r="S20" i="36" s="1"/>
  <c r="X211" i="7"/>
  <c r="X7" i="7" s="1"/>
  <c r="M61" i="33" s="1"/>
  <c r="M63" i="33" s="1"/>
  <c r="W211" i="7"/>
  <c r="W7" i="7" s="1"/>
  <c r="M61" i="4" s="1"/>
  <c r="R20" i="36" s="1"/>
  <c r="V211" i="7"/>
  <c r="V7" i="7" s="1"/>
  <c r="L61" i="33" s="1"/>
  <c r="L63" i="33" s="1"/>
  <c r="U211" i="7"/>
  <c r="U7" i="7" s="1"/>
  <c r="L61" i="4" s="1"/>
  <c r="Q20" i="36" s="1"/>
  <c r="T211" i="7"/>
  <c r="T7" i="7" s="1"/>
  <c r="K61" i="33" s="1"/>
  <c r="K63" i="33" s="1"/>
  <c r="S211" i="7"/>
  <c r="S7" i="7" s="1"/>
  <c r="K61" i="4" s="1"/>
  <c r="P20" i="36" s="1"/>
  <c r="R211" i="7"/>
  <c r="R7" i="7" s="1"/>
  <c r="J61" i="33" s="1"/>
  <c r="J63" i="33" s="1"/>
  <c r="Q211" i="7"/>
  <c r="Q7" i="7" s="1"/>
  <c r="J61" i="4" s="1"/>
  <c r="O20" i="36" s="1"/>
  <c r="P212" i="7"/>
  <c r="P8" i="7" s="1"/>
  <c r="I68" i="33" s="1"/>
  <c r="I70" i="33" s="1"/>
  <c r="O212" i="7"/>
  <c r="O8" i="7" s="1"/>
  <c r="I68" i="4" s="1"/>
  <c r="N21" i="36" s="1"/>
  <c r="N212" i="7"/>
  <c r="N8" i="7" s="1"/>
  <c r="H68" i="33" s="1"/>
  <c r="H70" i="33" s="1"/>
  <c r="M212" i="7"/>
  <c r="M8" i="7" s="1"/>
  <c r="H68" i="4" s="1"/>
  <c r="M21" i="36" s="1"/>
  <c r="L212" i="7"/>
  <c r="L8" i="7" s="1"/>
  <c r="G68" i="33" s="1"/>
  <c r="G70" i="33" s="1"/>
  <c r="K212" i="7"/>
  <c r="K8" i="7" s="1"/>
  <c r="G68" i="4" s="1"/>
  <c r="L21" i="36" s="1"/>
  <c r="P211" i="7"/>
  <c r="P7" i="7" s="1"/>
  <c r="I61" i="33" s="1"/>
  <c r="I63" i="33" s="1"/>
  <c r="O211" i="7"/>
  <c r="O7" i="7" s="1"/>
  <c r="I61" i="4" s="1"/>
  <c r="N20" i="36" s="1"/>
  <c r="N211" i="7"/>
  <c r="N7" i="7" s="1"/>
  <c r="H61" i="33" s="1"/>
  <c r="H63" i="33" s="1"/>
  <c r="M211" i="7"/>
  <c r="M7" i="7" s="1"/>
  <c r="H61" i="4" s="1"/>
  <c r="M20" i="36" s="1"/>
  <c r="L211" i="7"/>
  <c r="L7" i="7" s="1"/>
  <c r="G61" i="33" s="1"/>
  <c r="G63" i="33" s="1"/>
  <c r="K211" i="7"/>
  <c r="K7" i="7" s="1"/>
  <c r="G61" i="4" s="1"/>
  <c r="L20" i="36" s="1"/>
  <c r="Y154" i="7"/>
  <c r="W154" i="7"/>
  <c r="U154" i="7"/>
  <c r="T154" i="7"/>
  <c r="S154" i="7"/>
  <c r="R154" i="7"/>
  <c r="Z26" i="7"/>
  <c r="Y26" i="7"/>
  <c r="X26" i="7"/>
  <c r="V26" i="7"/>
  <c r="U26" i="7"/>
  <c r="T26" i="7"/>
  <c r="S26" i="7"/>
  <c r="R26" i="7"/>
  <c r="Q26" i="7"/>
  <c r="O154" i="7"/>
  <c r="M154" i="7"/>
  <c r="K154" i="7"/>
  <c r="P26" i="7"/>
  <c r="O26" i="7"/>
  <c r="N26" i="7"/>
  <c r="M26" i="7"/>
  <c r="L26" i="7"/>
  <c r="K26" i="7"/>
  <c r="F251" i="7"/>
  <c r="F250" i="7"/>
  <c r="F249" i="7"/>
  <c r="F248" i="7"/>
  <c r="F247" i="7"/>
  <c r="G251" i="7"/>
  <c r="G250" i="7"/>
  <c r="G249" i="7"/>
  <c r="G248" i="7"/>
  <c r="G247" i="7"/>
  <c r="G241" i="7"/>
  <c r="G240" i="7"/>
  <c r="G239" i="7"/>
  <c r="F243" i="7"/>
  <c r="F241" i="7"/>
  <c r="F240" i="7"/>
  <c r="F239" i="7"/>
  <c r="J212" i="7"/>
  <c r="J8" i="7" s="1"/>
  <c r="F68" i="33" s="1"/>
  <c r="F70" i="33" s="1"/>
  <c r="I212" i="7"/>
  <c r="I8" i="7" s="1"/>
  <c r="F68" i="4" s="1"/>
  <c r="K21" i="36" s="1"/>
  <c r="J211" i="7"/>
  <c r="J7" i="7" s="1"/>
  <c r="F61" i="33" s="1"/>
  <c r="F63" i="33" s="1"/>
  <c r="I211" i="7"/>
  <c r="I7" i="7" s="1"/>
  <c r="F61" i="4" s="1"/>
  <c r="K20" i="36" s="1"/>
  <c r="I154" i="7"/>
  <c r="J26" i="7"/>
  <c r="I26" i="7"/>
  <c r="H212" i="7"/>
  <c r="H8" i="7" s="1"/>
  <c r="E68" i="33" s="1"/>
  <c r="E70" i="33" s="1"/>
  <c r="G212" i="7"/>
  <c r="G8" i="7" s="1"/>
  <c r="E68" i="4" s="1"/>
  <c r="J21" i="36" s="1"/>
  <c r="H211" i="7"/>
  <c r="H7" i="7" s="1"/>
  <c r="E61" i="33" s="1"/>
  <c r="E63" i="33" s="1"/>
  <c r="G211" i="7"/>
  <c r="G7" i="7" s="1"/>
  <c r="E61" i="4" s="1"/>
  <c r="J20" i="36" s="1"/>
  <c r="G154" i="7"/>
  <c r="H26" i="7"/>
  <c r="G26" i="7"/>
  <c r="C247" i="7"/>
  <c r="C248" i="7"/>
  <c r="C249" i="7"/>
  <c r="C250" i="7"/>
  <c r="C251" i="7"/>
  <c r="B251" i="7"/>
  <c r="B250" i="7"/>
  <c r="B249" i="7"/>
  <c r="B248" i="7"/>
  <c r="B247" i="7"/>
  <c r="C240" i="7"/>
  <c r="C241" i="7"/>
  <c r="B241" i="7"/>
  <c r="B240" i="7"/>
  <c r="C239" i="7"/>
  <c r="B239" i="7"/>
  <c r="E26" i="7"/>
  <c r="E211" i="7"/>
  <c r="E7" i="7" s="1"/>
  <c r="D61" i="4" s="1"/>
  <c r="I20" i="36" s="1"/>
  <c r="E212" i="7"/>
  <c r="E8" i="7" s="1"/>
  <c r="D68" i="4" s="1"/>
  <c r="I21" i="36" s="1"/>
  <c r="E154" i="7"/>
  <c r="C212" i="7"/>
  <c r="C8" i="7" s="1"/>
  <c r="C211" i="7"/>
  <c r="C154" i="7"/>
  <c r="C26" i="7"/>
  <c r="M6" i="9" s="1"/>
  <c r="B243" i="7"/>
  <c r="N13" i="18"/>
  <c r="B20" i="18" s="1"/>
  <c r="AH222" i="7"/>
  <c r="AH224" i="7" s="1"/>
  <c r="AH235" i="7" s="1"/>
  <c r="Z12" i="21"/>
  <c r="Z11" i="21"/>
  <c r="Z10" i="21"/>
  <c r="AA10" i="21"/>
  <c r="AA12" i="21"/>
  <c r="Y26" i="21"/>
  <c r="X26" i="21"/>
  <c r="W26" i="21"/>
  <c r="V26" i="21"/>
  <c r="U26" i="21"/>
  <c r="T26" i="21"/>
  <c r="U21" i="21"/>
  <c r="S26" i="21"/>
  <c r="R26" i="21"/>
  <c r="S25" i="21"/>
  <c r="R22" i="21"/>
  <c r="R20" i="21"/>
  <c r="Q26" i="21"/>
  <c r="P26" i="21"/>
  <c r="P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O26" i="21"/>
  <c r="O25" i="21"/>
  <c r="O24" i="21"/>
  <c r="O23" i="21"/>
  <c r="N26" i="21"/>
  <c r="N25" i="21"/>
  <c r="N24" i="21"/>
  <c r="N23" i="21"/>
  <c r="O21" i="21"/>
  <c r="O20" i="21"/>
  <c r="O19" i="21"/>
  <c r="O18" i="21"/>
  <c r="O17" i="21"/>
  <c r="N21" i="21"/>
  <c r="N20" i="21"/>
  <c r="N19" i="21"/>
  <c r="N18" i="21"/>
  <c r="N17" i="21"/>
  <c r="O15" i="21"/>
  <c r="N15" i="21"/>
  <c r="O12" i="21"/>
  <c r="O11" i="21"/>
  <c r="O10" i="21"/>
  <c r="N12" i="21"/>
  <c r="N11" i="21"/>
  <c r="N10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0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M12" i="21"/>
  <c r="M11" i="21"/>
  <c r="M9" i="21"/>
  <c r="L12" i="21"/>
  <c r="L11" i="21"/>
  <c r="L10" i="21"/>
  <c r="L9" i="21"/>
  <c r="L8" i="21"/>
  <c r="K26" i="21"/>
  <c r="K25" i="21"/>
  <c r="K24" i="21"/>
  <c r="K23" i="21"/>
  <c r="K22" i="21"/>
  <c r="K21" i="21"/>
  <c r="K20" i="21"/>
  <c r="K19" i="21"/>
  <c r="K18" i="21"/>
  <c r="K17" i="21"/>
  <c r="J26" i="21"/>
  <c r="J25" i="21"/>
  <c r="J24" i="21"/>
  <c r="J23" i="21"/>
  <c r="J22" i="21"/>
  <c r="J21" i="21"/>
  <c r="J20" i="21"/>
  <c r="J19" i="21"/>
  <c r="J18" i="21"/>
  <c r="J17" i="21"/>
  <c r="K15" i="21"/>
  <c r="K14" i="21"/>
  <c r="K13" i="21"/>
  <c r="K12" i="21"/>
  <c r="K11" i="21"/>
  <c r="K10" i="21"/>
  <c r="J15" i="21"/>
  <c r="J14" i="21"/>
  <c r="J13" i="21"/>
  <c r="J12" i="21"/>
  <c r="J11" i="21"/>
  <c r="J10" i="21"/>
  <c r="I25" i="21"/>
  <c r="I24" i="21"/>
  <c r="I23" i="21"/>
  <c r="I22" i="21"/>
  <c r="I21" i="21"/>
  <c r="I20" i="21"/>
  <c r="I19" i="21"/>
  <c r="I18" i="21"/>
  <c r="I17" i="21"/>
  <c r="H25" i="21"/>
  <c r="H24" i="21"/>
  <c r="H23" i="21"/>
  <c r="H22" i="21"/>
  <c r="H21" i="21"/>
  <c r="H20" i="21"/>
  <c r="H19" i="21"/>
  <c r="H18" i="21"/>
  <c r="H17" i="21"/>
  <c r="I14" i="21"/>
  <c r="I15" i="21"/>
  <c r="H15" i="21"/>
  <c r="I13" i="21"/>
  <c r="I12" i="21"/>
  <c r="I11" i="21"/>
  <c r="I10" i="21"/>
  <c r="I9" i="21"/>
  <c r="H12" i="21"/>
  <c r="H11" i="21"/>
  <c r="H10" i="21"/>
  <c r="H9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G12" i="21"/>
  <c r="G11" i="21"/>
  <c r="G10" i="21"/>
  <c r="F12" i="21"/>
  <c r="F11" i="21"/>
  <c r="F10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19" i="21"/>
  <c r="B19" i="21"/>
  <c r="C18" i="21"/>
  <c r="B18" i="21"/>
  <c r="C17" i="21"/>
  <c r="B17" i="21"/>
  <c r="C15" i="21"/>
  <c r="B15" i="21"/>
  <c r="C14" i="21"/>
  <c r="B14" i="21"/>
  <c r="C12" i="21"/>
  <c r="B12" i="21"/>
  <c r="C11" i="21"/>
  <c r="B11" i="21"/>
  <c r="C10" i="21"/>
  <c r="B10" i="21"/>
  <c r="C9" i="21"/>
  <c r="B9" i="21"/>
  <c r="Q7" i="21"/>
  <c r="P7" i="21"/>
  <c r="C7" i="21"/>
  <c r="B7" i="21"/>
  <c r="E7" i="21"/>
  <c r="D7" i="21"/>
  <c r="G7" i="21"/>
  <c r="F7" i="21"/>
  <c r="I7" i="21"/>
  <c r="H7" i="21"/>
  <c r="K7" i="21"/>
  <c r="J7" i="21"/>
  <c r="M7" i="21"/>
  <c r="L7" i="21"/>
  <c r="Q6" i="21"/>
  <c r="P6" i="21"/>
  <c r="K6" i="21"/>
  <c r="J6" i="21"/>
  <c r="I15" i="18"/>
  <c r="H15" i="18"/>
  <c r="G15" i="18"/>
  <c r="F15" i="18"/>
  <c r="E15" i="18"/>
  <c r="AB64" i="7"/>
  <c r="N68" i="1" l="1"/>
  <c r="H40" i="1"/>
  <c r="C24" i="6"/>
  <c r="C26" i="6" s="1"/>
  <c r="C23" i="6"/>
  <c r="D24" i="6"/>
  <c r="D26" i="6" s="1"/>
  <c r="D23" i="6"/>
  <c r="E24" i="6"/>
  <c r="F24" i="6"/>
  <c r="F26" i="6" s="1"/>
  <c r="G24" i="6"/>
  <c r="G26" i="6" s="1"/>
  <c r="H24" i="6"/>
  <c r="H26" i="6" s="1"/>
  <c r="R3" i="37"/>
  <c r="M21" i="34"/>
  <c r="M23" i="34" s="1"/>
  <c r="AI3" i="37"/>
  <c r="AA3" i="37"/>
  <c r="AA39" i="37" s="1"/>
  <c r="AA52" i="37" s="1"/>
  <c r="I19" i="40"/>
  <c r="C19" i="40"/>
  <c r="C19" i="9"/>
  <c r="N55" i="32"/>
  <c r="N57" i="32" s="1"/>
  <c r="K19" i="9"/>
  <c r="K19" i="40"/>
  <c r="I19" i="9"/>
  <c r="N12" i="18"/>
  <c r="B22" i="18" s="1"/>
  <c r="AO28" i="37"/>
  <c r="AQ28" i="37" s="1"/>
  <c r="G37" i="37"/>
  <c r="AO37" i="37"/>
  <c r="G23" i="37"/>
  <c r="AO23" i="37"/>
  <c r="AQ12" i="37"/>
  <c r="AQ14" i="37"/>
  <c r="G25" i="37"/>
  <c r="AO25" i="37"/>
  <c r="AQ25" i="37" s="1"/>
  <c r="G29" i="37"/>
  <c r="AO29" i="37"/>
  <c r="AQ29" i="37" s="1"/>
  <c r="J47" i="37"/>
  <c r="AI21" i="29"/>
  <c r="AF21" i="29"/>
  <c r="L3" i="37"/>
  <c r="L39" i="37" s="1"/>
  <c r="L52" i="37" s="1"/>
  <c r="X3" i="37"/>
  <c r="P4" i="37"/>
  <c r="V4" i="37"/>
  <c r="AP4" i="37"/>
  <c r="AP3" i="37" s="1"/>
  <c r="AP39" i="37" s="1"/>
  <c r="AP52" i="37" s="1"/>
  <c r="AL36" i="37"/>
  <c r="AN36" i="37" s="1"/>
  <c r="AL41" i="37"/>
  <c r="AN41" i="37" s="1"/>
  <c r="L21" i="34"/>
  <c r="L23" i="34" s="1"/>
  <c r="I3" i="37"/>
  <c r="I39" i="37" s="1"/>
  <c r="AG3" i="37"/>
  <c r="AG39" i="37" s="1"/>
  <c r="AO8" i="29"/>
  <c r="W41" i="37"/>
  <c r="N41" i="37"/>
  <c r="H10" i="34"/>
  <c r="H12" i="34" s="1"/>
  <c r="D21" i="34"/>
  <c r="D23" i="34" s="1"/>
  <c r="R39" i="37"/>
  <c r="V41" i="37"/>
  <c r="AB41" i="37"/>
  <c r="AH41" i="37"/>
  <c r="G43" i="37"/>
  <c r="J43" i="37"/>
  <c r="M43" i="37"/>
  <c r="P43" i="37"/>
  <c r="S43" i="37"/>
  <c r="V43" i="37"/>
  <c r="Y43" i="37"/>
  <c r="AB43" i="37"/>
  <c r="AE43" i="37"/>
  <c r="AH43" i="37"/>
  <c r="AK43" i="37"/>
  <c r="AN43" i="37"/>
  <c r="AQ43" i="37"/>
  <c r="D10" i="34"/>
  <c r="D12" i="34" s="1"/>
  <c r="F64" i="12"/>
  <c r="F65" i="12"/>
  <c r="F66" i="12"/>
  <c r="F67" i="12"/>
  <c r="H64" i="12"/>
  <c r="H65" i="12"/>
  <c r="H66" i="12"/>
  <c r="H67" i="12"/>
  <c r="J64" i="12"/>
  <c r="J65" i="12"/>
  <c r="J66" i="12"/>
  <c r="J67" i="12"/>
  <c r="L64" i="12"/>
  <c r="L65" i="12"/>
  <c r="L66" i="12"/>
  <c r="L67" i="12"/>
  <c r="G64" i="12"/>
  <c r="G65" i="12"/>
  <c r="G66" i="12"/>
  <c r="G67" i="12"/>
  <c r="I64" i="12"/>
  <c r="I65" i="12"/>
  <c r="I66" i="12"/>
  <c r="I67" i="12"/>
  <c r="K64" i="12"/>
  <c r="K65" i="12"/>
  <c r="K66" i="12"/>
  <c r="K67" i="12"/>
  <c r="X64" i="12"/>
  <c r="X65" i="12"/>
  <c r="X66" i="12"/>
  <c r="X67" i="12"/>
  <c r="W64" i="12"/>
  <c r="W65" i="12"/>
  <c r="W67" i="12"/>
  <c r="W66" i="12"/>
  <c r="V64" i="12"/>
  <c r="V65" i="12"/>
  <c r="V66" i="12"/>
  <c r="V67" i="12"/>
  <c r="T64" i="12"/>
  <c r="T65" i="12"/>
  <c r="T66" i="12"/>
  <c r="T67" i="12"/>
  <c r="S64" i="12"/>
  <c r="S66" i="12"/>
  <c r="S65" i="12"/>
  <c r="S67" i="12"/>
  <c r="R64" i="12"/>
  <c r="R65" i="12"/>
  <c r="R66" i="12"/>
  <c r="R67" i="12"/>
  <c r="AO23" i="29"/>
  <c r="AO8" i="37"/>
  <c r="H21" i="34"/>
  <c r="H23" i="34" s="1"/>
  <c r="D64" i="12"/>
  <c r="D65" i="12"/>
  <c r="D67" i="12"/>
  <c r="D66" i="12"/>
  <c r="B64" i="12"/>
  <c r="B65" i="12"/>
  <c r="B66" i="12"/>
  <c r="B67" i="12"/>
  <c r="Q65" i="12"/>
  <c r="Q67" i="12"/>
  <c r="Q64" i="12"/>
  <c r="Q66" i="12"/>
  <c r="H46" i="37"/>
  <c r="J46" i="37" s="1"/>
  <c r="O64" i="12"/>
  <c r="O66" i="12"/>
  <c r="O65" i="12"/>
  <c r="O67" i="12"/>
  <c r="N64" i="12"/>
  <c r="N66" i="12"/>
  <c r="N65" i="12"/>
  <c r="N67" i="12"/>
  <c r="T7" i="29"/>
  <c r="AL7" i="29"/>
  <c r="L10" i="34"/>
  <c r="L12" i="34" s="1"/>
  <c r="AO6" i="37"/>
  <c r="AQ6" i="37" s="1"/>
  <c r="AO28" i="29"/>
  <c r="AO40" i="29"/>
  <c r="I50" i="37"/>
  <c r="R50" i="37"/>
  <c r="U50" i="37"/>
  <c r="AG50" i="37"/>
  <c r="AH46" i="37"/>
  <c r="AK239" i="7"/>
  <c r="E3" i="37"/>
  <c r="K3" i="37"/>
  <c r="AN8" i="37"/>
  <c r="AL7" i="37"/>
  <c r="AN7" i="37" s="1"/>
  <c r="J9" i="37"/>
  <c r="AO9" i="37"/>
  <c r="AQ9" i="37" s="1"/>
  <c r="X240" i="7"/>
  <c r="J78" i="33"/>
  <c r="AO6" i="29"/>
  <c r="AO9" i="29"/>
  <c r="AO25" i="29"/>
  <c r="AO29" i="29"/>
  <c r="J21" i="34"/>
  <c r="J23" i="34" s="1"/>
  <c r="W3" i="37"/>
  <c r="F21" i="34"/>
  <c r="F23" i="34" s="1"/>
  <c r="C161" i="7"/>
  <c r="B12" i="12"/>
  <c r="B14" i="12"/>
  <c r="B16" i="12"/>
  <c r="B18" i="12"/>
  <c r="B20" i="12"/>
  <c r="B22" i="12"/>
  <c r="B24" i="12"/>
  <c r="B26" i="12"/>
  <c r="B28" i="12"/>
  <c r="B30" i="12"/>
  <c r="B32" i="12"/>
  <c r="B34" i="12"/>
  <c r="B36" i="12"/>
  <c r="B38" i="12"/>
  <c r="B40" i="12"/>
  <c r="B42" i="12"/>
  <c r="B44" i="12"/>
  <c r="B46" i="12"/>
  <c r="B48" i="12"/>
  <c r="B50" i="12"/>
  <c r="B52" i="12"/>
  <c r="B54" i="12"/>
  <c r="B56" i="12"/>
  <c r="B58" i="12"/>
  <c r="B13" i="12"/>
  <c r="B17" i="12"/>
  <c r="B21" i="12"/>
  <c r="B25" i="12"/>
  <c r="B29" i="12"/>
  <c r="B33" i="12"/>
  <c r="B37" i="12"/>
  <c r="B41" i="12"/>
  <c r="B45" i="12"/>
  <c r="B49" i="12"/>
  <c r="B53" i="12"/>
  <c r="B57" i="12"/>
  <c r="B60" i="12"/>
  <c r="B62" i="12"/>
  <c r="B68" i="12"/>
  <c r="B70" i="12"/>
  <c r="B72" i="12"/>
  <c r="B74" i="12"/>
  <c r="B76" i="12"/>
  <c r="B78" i="12"/>
  <c r="B11" i="12"/>
  <c r="B15" i="12"/>
  <c r="B19" i="12"/>
  <c r="B23" i="12"/>
  <c r="B27" i="12"/>
  <c r="B31" i="12"/>
  <c r="B35" i="12"/>
  <c r="B39" i="12"/>
  <c r="B43" i="12"/>
  <c r="B47" i="12"/>
  <c r="B51" i="12"/>
  <c r="B55" i="12"/>
  <c r="B59" i="12"/>
  <c r="B61" i="12"/>
  <c r="B63" i="12"/>
  <c r="B69" i="12"/>
  <c r="B71" i="12"/>
  <c r="B73" i="12"/>
  <c r="B75" i="12"/>
  <c r="B77" i="12"/>
  <c r="B10" i="12"/>
  <c r="G161" i="7"/>
  <c r="F10" i="12"/>
  <c r="F11" i="12"/>
  <c r="F13" i="12"/>
  <c r="F15" i="12"/>
  <c r="F17" i="12"/>
  <c r="F19" i="12"/>
  <c r="F21" i="12"/>
  <c r="F23" i="12"/>
  <c r="F25" i="12"/>
  <c r="F27" i="12"/>
  <c r="F29" i="12"/>
  <c r="F31" i="12"/>
  <c r="F33" i="12"/>
  <c r="F35" i="12"/>
  <c r="F37" i="12"/>
  <c r="F39" i="12"/>
  <c r="F41" i="12"/>
  <c r="F43" i="12"/>
  <c r="F45" i="12"/>
  <c r="F47" i="12"/>
  <c r="F49" i="12"/>
  <c r="F51" i="12"/>
  <c r="F53" i="12"/>
  <c r="F55" i="12"/>
  <c r="F57" i="12"/>
  <c r="F59" i="12"/>
  <c r="F61" i="12"/>
  <c r="F63" i="12"/>
  <c r="F69" i="12"/>
  <c r="F71" i="12"/>
  <c r="F73" i="12"/>
  <c r="F75" i="12"/>
  <c r="F7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70" i="12"/>
  <c r="F74" i="12"/>
  <c r="F78" i="12"/>
  <c r="F12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8" i="12"/>
  <c r="F72" i="12"/>
  <c r="F76" i="12"/>
  <c r="I161" i="7"/>
  <c r="H11" i="12"/>
  <c r="H13" i="12"/>
  <c r="H15" i="12"/>
  <c r="H17" i="12"/>
  <c r="H19" i="12"/>
  <c r="H21" i="12"/>
  <c r="H23" i="12"/>
  <c r="H25" i="12"/>
  <c r="H27" i="12"/>
  <c r="H29" i="12"/>
  <c r="H31" i="12"/>
  <c r="H33" i="12"/>
  <c r="H35" i="12"/>
  <c r="H37" i="12"/>
  <c r="H39" i="12"/>
  <c r="H41" i="12"/>
  <c r="H43" i="12"/>
  <c r="H45" i="12"/>
  <c r="H47" i="12"/>
  <c r="H49" i="12"/>
  <c r="H51" i="12"/>
  <c r="H53" i="12"/>
  <c r="H55" i="12"/>
  <c r="H57" i="12"/>
  <c r="H59" i="12"/>
  <c r="H12" i="12"/>
  <c r="H16" i="12"/>
  <c r="H20" i="12"/>
  <c r="H24" i="12"/>
  <c r="H28" i="12"/>
  <c r="H32" i="12"/>
  <c r="H36" i="12"/>
  <c r="H40" i="12"/>
  <c r="H44" i="12"/>
  <c r="H48" i="12"/>
  <c r="H52" i="12"/>
  <c r="H56" i="12"/>
  <c r="H14" i="12"/>
  <c r="H18" i="12"/>
  <c r="H22" i="12"/>
  <c r="H26" i="12"/>
  <c r="H30" i="12"/>
  <c r="H34" i="12"/>
  <c r="H38" i="12"/>
  <c r="H42" i="12"/>
  <c r="H46" i="12"/>
  <c r="H50" i="12"/>
  <c r="H54" i="12"/>
  <c r="H58" i="12"/>
  <c r="H61" i="12"/>
  <c r="H63" i="12"/>
  <c r="H69" i="12"/>
  <c r="H71" i="12"/>
  <c r="H73" i="12"/>
  <c r="H75" i="12"/>
  <c r="H77" i="12"/>
  <c r="H10" i="12"/>
  <c r="H62" i="12"/>
  <c r="H70" i="12"/>
  <c r="H74" i="12"/>
  <c r="H78" i="12"/>
  <c r="H60" i="12"/>
  <c r="H68" i="12"/>
  <c r="H72" i="12"/>
  <c r="H76" i="12"/>
  <c r="K161" i="7"/>
  <c r="J11" i="12"/>
  <c r="J13" i="12"/>
  <c r="J15" i="12"/>
  <c r="J17" i="12"/>
  <c r="J19" i="12"/>
  <c r="J21" i="12"/>
  <c r="J23" i="12"/>
  <c r="J25" i="12"/>
  <c r="J27" i="12"/>
  <c r="J29" i="12"/>
  <c r="J31" i="12"/>
  <c r="J33" i="12"/>
  <c r="J35" i="12"/>
  <c r="J37" i="12"/>
  <c r="J39" i="12"/>
  <c r="J41" i="12"/>
  <c r="J43" i="12"/>
  <c r="J45" i="12"/>
  <c r="J47" i="12"/>
  <c r="J49" i="12"/>
  <c r="J51" i="12"/>
  <c r="J53" i="12"/>
  <c r="J55" i="12"/>
  <c r="J57" i="12"/>
  <c r="J59" i="12"/>
  <c r="J61" i="12"/>
  <c r="J63" i="12"/>
  <c r="J69" i="12"/>
  <c r="J71" i="12"/>
  <c r="J73" i="12"/>
  <c r="J75" i="12"/>
  <c r="J77" i="12"/>
  <c r="J10" i="12"/>
  <c r="J14" i="12"/>
  <c r="J18" i="12"/>
  <c r="J22" i="12"/>
  <c r="J26" i="12"/>
  <c r="J30" i="12"/>
  <c r="J34" i="12"/>
  <c r="J38" i="12"/>
  <c r="J42" i="12"/>
  <c r="J46" i="12"/>
  <c r="J50" i="12"/>
  <c r="J54" i="12"/>
  <c r="J58" i="12"/>
  <c r="J62" i="12"/>
  <c r="J70" i="12"/>
  <c r="J74" i="12"/>
  <c r="J78" i="12"/>
  <c r="J12" i="12"/>
  <c r="J16" i="12"/>
  <c r="J20" i="12"/>
  <c r="J24" i="12"/>
  <c r="J28" i="12"/>
  <c r="J32" i="12"/>
  <c r="J36" i="12"/>
  <c r="J40" i="12"/>
  <c r="J44" i="12"/>
  <c r="J48" i="12"/>
  <c r="J52" i="12"/>
  <c r="J56" i="12"/>
  <c r="J60" i="12"/>
  <c r="J68" i="12"/>
  <c r="J72" i="12"/>
  <c r="J76" i="12"/>
  <c r="M161" i="7"/>
  <c r="L11" i="12"/>
  <c r="L13" i="12"/>
  <c r="L15" i="12"/>
  <c r="L17" i="12"/>
  <c r="L19" i="12"/>
  <c r="L21" i="12"/>
  <c r="L23" i="12"/>
  <c r="L25" i="12"/>
  <c r="L27" i="12"/>
  <c r="L29" i="12"/>
  <c r="L31" i="12"/>
  <c r="L33" i="12"/>
  <c r="L35" i="12"/>
  <c r="L37" i="12"/>
  <c r="L39" i="12"/>
  <c r="L41" i="12"/>
  <c r="L43" i="12"/>
  <c r="L45" i="12"/>
  <c r="L47" i="12"/>
  <c r="L49" i="12"/>
  <c r="L51" i="12"/>
  <c r="L53" i="12"/>
  <c r="L55" i="12"/>
  <c r="L57" i="12"/>
  <c r="L59" i="12"/>
  <c r="L61" i="12"/>
  <c r="L63" i="12"/>
  <c r="L69" i="12"/>
  <c r="L71" i="12"/>
  <c r="L73" i="12"/>
  <c r="L75" i="12"/>
  <c r="L77" i="12"/>
  <c r="L10" i="12"/>
  <c r="L12" i="12"/>
  <c r="L16" i="12"/>
  <c r="L20" i="12"/>
  <c r="L24" i="12"/>
  <c r="L28" i="12"/>
  <c r="L32" i="12"/>
  <c r="L36" i="12"/>
  <c r="L40" i="12"/>
  <c r="L44" i="12"/>
  <c r="L48" i="12"/>
  <c r="L52" i="12"/>
  <c r="L56" i="12"/>
  <c r="L60" i="12"/>
  <c r="L68" i="12"/>
  <c r="L72" i="12"/>
  <c r="L76" i="12"/>
  <c r="L14" i="12"/>
  <c r="L18" i="12"/>
  <c r="L22" i="12"/>
  <c r="L26" i="12"/>
  <c r="L30" i="12"/>
  <c r="L34" i="12"/>
  <c r="L38" i="12"/>
  <c r="L42" i="12"/>
  <c r="L46" i="12"/>
  <c r="L50" i="12"/>
  <c r="L54" i="12"/>
  <c r="L58" i="12"/>
  <c r="L62" i="12"/>
  <c r="L70" i="12"/>
  <c r="L74" i="12"/>
  <c r="L78" i="12"/>
  <c r="O161" i="7"/>
  <c r="N12" i="12"/>
  <c r="N14" i="12"/>
  <c r="N16" i="12"/>
  <c r="N18" i="12"/>
  <c r="N20" i="12"/>
  <c r="N22" i="12"/>
  <c r="N24" i="12"/>
  <c r="N26" i="12"/>
  <c r="N28" i="12"/>
  <c r="N30" i="12"/>
  <c r="N32" i="12"/>
  <c r="N34" i="12"/>
  <c r="N36" i="12"/>
  <c r="N38" i="12"/>
  <c r="N40" i="12"/>
  <c r="N42" i="12"/>
  <c r="N44" i="12"/>
  <c r="N46" i="12"/>
  <c r="N48" i="12"/>
  <c r="N50" i="12"/>
  <c r="N52" i="12"/>
  <c r="N54" i="12"/>
  <c r="N56" i="12"/>
  <c r="N58" i="12"/>
  <c r="N60" i="12"/>
  <c r="N62" i="12"/>
  <c r="N68" i="12"/>
  <c r="N70" i="12"/>
  <c r="N72" i="12"/>
  <c r="N74" i="12"/>
  <c r="N76" i="12"/>
  <c r="N78" i="12"/>
  <c r="N11" i="12"/>
  <c r="N13" i="12"/>
  <c r="N15" i="12"/>
  <c r="N17" i="12"/>
  <c r="N19" i="12"/>
  <c r="N21" i="12"/>
  <c r="N23" i="12"/>
  <c r="N25" i="12"/>
  <c r="N27" i="12"/>
  <c r="N29" i="12"/>
  <c r="N31" i="12"/>
  <c r="N33" i="12"/>
  <c r="N35" i="12"/>
  <c r="N37" i="12"/>
  <c r="N39" i="12"/>
  <c r="N41" i="12"/>
  <c r="N43" i="12"/>
  <c r="N45" i="12"/>
  <c r="N47" i="12"/>
  <c r="N49" i="12"/>
  <c r="N51" i="12"/>
  <c r="N53" i="12"/>
  <c r="N55" i="12"/>
  <c r="N57" i="12"/>
  <c r="N59" i="12"/>
  <c r="N61" i="12"/>
  <c r="N63" i="12"/>
  <c r="N69" i="12"/>
  <c r="N71" i="12"/>
  <c r="N73" i="12"/>
  <c r="N75" i="12"/>
  <c r="N77" i="12"/>
  <c r="N10" i="12"/>
  <c r="O39" i="37"/>
  <c r="U39" i="37"/>
  <c r="U52" i="37" s="1"/>
  <c r="AD39" i="37"/>
  <c r="AD52" i="37" s="1"/>
  <c r="AM3" i="37"/>
  <c r="AM39" i="37" s="1"/>
  <c r="AQ5" i="37"/>
  <c r="AQ10" i="37"/>
  <c r="G12" i="37"/>
  <c r="J12" i="37"/>
  <c r="M12" i="37"/>
  <c r="P12" i="37"/>
  <c r="S12" i="37"/>
  <c r="V12" i="37"/>
  <c r="Y12" i="37"/>
  <c r="AB12" i="37"/>
  <c r="AE12" i="37"/>
  <c r="AH12" i="37"/>
  <c r="AK12" i="37"/>
  <c r="AN12" i="37"/>
  <c r="AQ16" i="37"/>
  <c r="AQ18" i="37"/>
  <c r="AQ19" i="37"/>
  <c r="AQ20" i="37"/>
  <c r="AQ22" i="37"/>
  <c r="AQ26" i="37"/>
  <c r="AQ27" i="37"/>
  <c r="AQ30" i="37"/>
  <c r="AQ31" i="37"/>
  <c r="D19" i="7"/>
  <c r="J32" i="37"/>
  <c r="F19" i="7"/>
  <c r="M32" i="37"/>
  <c r="H19" i="7"/>
  <c r="K252" i="7" s="1"/>
  <c r="P32" i="37"/>
  <c r="J19" i="7"/>
  <c r="O252" i="7" s="1"/>
  <c r="S32" i="37"/>
  <c r="S252" i="7"/>
  <c r="V32" i="37"/>
  <c r="N19" i="7"/>
  <c r="W252" i="7" s="1"/>
  <c r="Y32" i="37"/>
  <c r="P19" i="7"/>
  <c r="AA252" i="7" s="1"/>
  <c r="AB32" i="37"/>
  <c r="R19" i="7"/>
  <c r="AE252" i="7" s="1"/>
  <c r="AE32" i="37"/>
  <c r="T19" i="7"/>
  <c r="AI252" i="7" s="1"/>
  <c r="AH32" i="37"/>
  <c r="V19" i="7"/>
  <c r="AM252" i="7" s="1"/>
  <c r="AK32" i="37"/>
  <c r="X19" i="7"/>
  <c r="AQ252" i="7" s="1"/>
  <c r="AN32" i="37"/>
  <c r="Z19" i="7"/>
  <c r="AU252" i="7" s="1"/>
  <c r="G33" i="37"/>
  <c r="J33" i="37"/>
  <c r="M33" i="37"/>
  <c r="P33" i="37"/>
  <c r="S33" i="37"/>
  <c r="V33" i="37"/>
  <c r="Y33" i="37"/>
  <c r="AB33" i="37"/>
  <c r="AE33" i="37"/>
  <c r="AK33" i="37"/>
  <c r="AQ34" i="37"/>
  <c r="AQ35" i="37"/>
  <c r="L50" i="37"/>
  <c r="O50" i="37"/>
  <c r="X50" i="37"/>
  <c r="AA50" i="37"/>
  <c r="AJ50" i="37"/>
  <c r="AM50" i="37"/>
  <c r="AP50" i="37"/>
  <c r="AQ44" i="37"/>
  <c r="AQ45" i="37"/>
  <c r="AL46" i="37"/>
  <c r="AN46" i="37" s="1"/>
  <c r="AI242" i="7"/>
  <c r="AK242" i="7" s="1"/>
  <c r="J18" i="38" s="1"/>
  <c r="AK240" i="7"/>
  <c r="E161" i="7"/>
  <c r="D11" i="12"/>
  <c r="D13" i="12"/>
  <c r="D15" i="12"/>
  <c r="D17" i="12"/>
  <c r="D19" i="12"/>
  <c r="D21" i="12"/>
  <c r="D23" i="12"/>
  <c r="D25" i="12"/>
  <c r="D27" i="12"/>
  <c r="D29" i="12"/>
  <c r="D31" i="12"/>
  <c r="D33" i="12"/>
  <c r="D35" i="12"/>
  <c r="D37" i="12"/>
  <c r="D39" i="12"/>
  <c r="D41" i="12"/>
  <c r="D43" i="12"/>
  <c r="D45" i="12"/>
  <c r="D47" i="12"/>
  <c r="D49" i="12"/>
  <c r="D51" i="12"/>
  <c r="D53" i="12"/>
  <c r="D55" i="12"/>
  <c r="D57" i="12"/>
  <c r="D59" i="12"/>
  <c r="D61" i="12"/>
  <c r="D63" i="12"/>
  <c r="D69" i="12"/>
  <c r="D71" i="12"/>
  <c r="D73" i="12"/>
  <c r="D75" i="12"/>
  <c r="D77" i="12"/>
  <c r="D10" i="12"/>
  <c r="D12" i="12"/>
  <c r="D16" i="12"/>
  <c r="D20" i="12"/>
  <c r="D24" i="12"/>
  <c r="D28" i="12"/>
  <c r="D32" i="12"/>
  <c r="D36" i="12"/>
  <c r="D40" i="12"/>
  <c r="D44" i="12"/>
  <c r="D48" i="12"/>
  <c r="D52" i="12"/>
  <c r="D56" i="12"/>
  <c r="D60" i="12"/>
  <c r="D68" i="12"/>
  <c r="D72" i="12"/>
  <c r="D76" i="12"/>
  <c r="D14" i="12"/>
  <c r="D18" i="12"/>
  <c r="D22" i="12"/>
  <c r="D26" i="12"/>
  <c r="D30" i="12"/>
  <c r="D34" i="12"/>
  <c r="D38" i="12"/>
  <c r="D42" i="12"/>
  <c r="D46" i="12"/>
  <c r="D50" i="12"/>
  <c r="D54" i="12"/>
  <c r="D58" i="12"/>
  <c r="D62" i="12"/>
  <c r="D70" i="12"/>
  <c r="D74" i="12"/>
  <c r="D78" i="12"/>
  <c r="H161" i="7"/>
  <c r="G12" i="12"/>
  <c r="G14" i="12"/>
  <c r="G16" i="12"/>
  <c r="G18" i="12"/>
  <c r="G20" i="12"/>
  <c r="G22" i="12"/>
  <c r="G24" i="12"/>
  <c r="G26" i="12"/>
  <c r="G28" i="12"/>
  <c r="G30" i="12"/>
  <c r="G32" i="12"/>
  <c r="G34" i="12"/>
  <c r="G36" i="12"/>
  <c r="G38" i="12"/>
  <c r="G40" i="12"/>
  <c r="G42" i="12"/>
  <c r="G44" i="12"/>
  <c r="G46" i="12"/>
  <c r="G48" i="12"/>
  <c r="G50" i="12"/>
  <c r="G52" i="12"/>
  <c r="G54" i="12"/>
  <c r="G56" i="12"/>
  <c r="G58" i="12"/>
  <c r="G60" i="12"/>
  <c r="G62" i="12"/>
  <c r="G68" i="12"/>
  <c r="G70" i="12"/>
  <c r="G72" i="12"/>
  <c r="G74" i="12"/>
  <c r="G76" i="12"/>
  <c r="G78" i="12"/>
  <c r="G13" i="12"/>
  <c r="G17" i="12"/>
  <c r="G21" i="12"/>
  <c r="G25" i="12"/>
  <c r="G29" i="12"/>
  <c r="G33" i="12"/>
  <c r="G37" i="12"/>
  <c r="G41" i="12"/>
  <c r="G45" i="12"/>
  <c r="G49" i="12"/>
  <c r="G53" i="12"/>
  <c r="G57" i="12"/>
  <c r="G61" i="12"/>
  <c r="G69" i="12"/>
  <c r="G73" i="12"/>
  <c r="G77" i="12"/>
  <c r="G11" i="12"/>
  <c r="G15" i="12"/>
  <c r="G19" i="12"/>
  <c r="G23" i="12"/>
  <c r="G27" i="12"/>
  <c r="G31" i="12"/>
  <c r="G35" i="12"/>
  <c r="G39" i="12"/>
  <c r="G43" i="12"/>
  <c r="G47" i="12"/>
  <c r="G51" i="12"/>
  <c r="G55" i="12"/>
  <c r="G59" i="12"/>
  <c r="G63" i="12"/>
  <c r="G71" i="12"/>
  <c r="G75" i="12"/>
  <c r="G10" i="12"/>
  <c r="J161" i="7"/>
  <c r="I12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I38" i="12"/>
  <c r="I40" i="12"/>
  <c r="I42" i="12"/>
  <c r="I44" i="12"/>
  <c r="I46" i="12"/>
  <c r="I48" i="12"/>
  <c r="I50" i="12"/>
  <c r="I52" i="12"/>
  <c r="I54" i="12"/>
  <c r="I56" i="12"/>
  <c r="I58" i="12"/>
  <c r="I60" i="12"/>
  <c r="I62" i="12"/>
  <c r="I68" i="12"/>
  <c r="I70" i="12"/>
  <c r="I72" i="12"/>
  <c r="I74" i="12"/>
  <c r="I76" i="12"/>
  <c r="I78" i="12"/>
  <c r="I13" i="12"/>
  <c r="I17" i="12"/>
  <c r="I21" i="12"/>
  <c r="I25" i="12"/>
  <c r="I29" i="12"/>
  <c r="I33" i="12"/>
  <c r="I37" i="12"/>
  <c r="I41" i="12"/>
  <c r="I45" i="12"/>
  <c r="I49" i="12"/>
  <c r="I53" i="12"/>
  <c r="I57" i="12"/>
  <c r="I61" i="12"/>
  <c r="I69" i="12"/>
  <c r="I73" i="12"/>
  <c r="I77" i="12"/>
  <c r="I11" i="12"/>
  <c r="I15" i="12"/>
  <c r="I19" i="12"/>
  <c r="I23" i="12"/>
  <c r="I27" i="12"/>
  <c r="I31" i="12"/>
  <c r="I35" i="12"/>
  <c r="I39" i="12"/>
  <c r="I43" i="12"/>
  <c r="I47" i="12"/>
  <c r="I51" i="12"/>
  <c r="I55" i="12"/>
  <c r="I59" i="12"/>
  <c r="I63" i="12"/>
  <c r="I71" i="12"/>
  <c r="I75" i="12"/>
  <c r="I10" i="12"/>
  <c r="L161" i="7"/>
  <c r="K12" i="12"/>
  <c r="K14" i="12"/>
  <c r="K16" i="12"/>
  <c r="K18" i="12"/>
  <c r="K20" i="12"/>
  <c r="K22" i="12"/>
  <c r="K24" i="12"/>
  <c r="K26" i="12"/>
  <c r="K28" i="12"/>
  <c r="K30" i="12"/>
  <c r="K32" i="12"/>
  <c r="K34" i="12"/>
  <c r="K36" i="12"/>
  <c r="K38" i="12"/>
  <c r="K40" i="12"/>
  <c r="K42" i="12"/>
  <c r="K44" i="12"/>
  <c r="K46" i="12"/>
  <c r="K48" i="12"/>
  <c r="K50" i="12"/>
  <c r="K52" i="12"/>
  <c r="K54" i="12"/>
  <c r="K56" i="12"/>
  <c r="K58" i="12"/>
  <c r="K60" i="12"/>
  <c r="K62" i="12"/>
  <c r="K68" i="12"/>
  <c r="K70" i="12"/>
  <c r="K72" i="12"/>
  <c r="K74" i="12"/>
  <c r="K76" i="12"/>
  <c r="K78" i="12"/>
  <c r="K11" i="12"/>
  <c r="K15" i="12"/>
  <c r="K19" i="12"/>
  <c r="K23" i="12"/>
  <c r="K27" i="12"/>
  <c r="K31" i="12"/>
  <c r="K35" i="12"/>
  <c r="K39" i="12"/>
  <c r="K43" i="12"/>
  <c r="K47" i="12"/>
  <c r="K51" i="12"/>
  <c r="K55" i="12"/>
  <c r="K59" i="12"/>
  <c r="K63" i="12"/>
  <c r="K71" i="12"/>
  <c r="K75" i="12"/>
  <c r="K10" i="12"/>
  <c r="K13" i="12"/>
  <c r="K17" i="12"/>
  <c r="K21" i="12"/>
  <c r="K25" i="12"/>
  <c r="K29" i="12"/>
  <c r="K33" i="12"/>
  <c r="K37" i="12"/>
  <c r="K41" i="12"/>
  <c r="K45" i="12"/>
  <c r="K49" i="12"/>
  <c r="K53" i="12"/>
  <c r="K57" i="12"/>
  <c r="K61" i="12"/>
  <c r="K69" i="12"/>
  <c r="K73" i="12"/>
  <c r="K77" i="12"/>
  <c r="N161" i="7"/>
  <c r="M11" i="12"/>
  <c r="M13" i="12"/>
  <c r="M15" i="12"/>
  <c r="M17" i="12"/>
  <c r="M19" i="12"/>
  <c r="M21" i="12"/>
  <c r="M23" i="12"/>
  <c r="M25" i="12"/>
  <c r="M27" i="12"/>
  <c r="M29" i="12"/>
  <c r="M31" i="12"/>
  <c r="M33" i="12"/>
  <c r="M35" i="12"/>
  <c r="M37" i="12"/>
  <c r="M39" i="12"/>
  <c r="M41" i="12"/>
  <c r="M43" i="12"/>
  <c r="M12" i="12"/>
  <c r="M14" i="12"/>
  <c r="M16" i="12"/>
  <c r="M18" i="12"/>
  <c r="M20" i="12"/>
  <c r="M22" i="12"/>
  <c r="M24" i="12"/>
  <c r="M26" i="12"/>
  <c r="M28" i="12"/>
  <c r="M30" i="12"/>
  <c r="M32" i="12"/>
  <c r="M34" i="12"/>
  <c r="M36" i="12"/>
  <c r="M38" i="12"/>
  <c r="M40" i="12"/>
  <c r="M42" i="12"/>
  <c r="M44" i="12"/>
  <c r="M46" i="12"/>
  <c r="M48" i="12"/>
  <c r="M50" i="12"/>
  <c r="M52" i="12"/>
  <c r="M54" i="12"/>
  <c r="M56" i="12"/>
  <c r="M58" i="12"/>
  <c r="M60" i="12"/>
  <c r="M62" i="12"/>
  <c r="M68" i="12"/>
  <c r="M70" i="12"/>
  <c r="M72" i="12"/>
  <c r="M74" i="12"/>
  <c r="M76" i="12"/>
  <c r="M78" i="12"/>
  <c r="M45" i="12"/>
  <c r="M49" i="12"/>
  <c r="M53" i="12"/>
  <c r="M57" i="12"/>
  <c r="M61" i="12"/>
  <c r="M69" i="12"/>
  <c r="M73" i="12"/>
  <c r="M77" i="12"/>
  <c r="M47" i="12"/>
  <c r="M51" i="12"/>
  <c r="M55" i="12"/>
  <c r="M59" i="12"/>
  <c r="M63" i="12"/>
  <c r="M71" i="12"/>
  <c r="M75" i="12"/>
  <c r="M10" i="12"/>
  <c r="O11" i="12"/>
  <c r="O13" i="12"/>
  <c r="O15" i="12"/>
  <c r="O17" i="12"/>
  <c r="O19" i="12"/>
  <c r="O21" i="12"/>
  <c r="O23" i="12"/>
  <c r="O25" i="12"/>
  <c r="O27" i="12"/>
  <c r="O29" i="12"/>
  <c r="O31" i="12"/>
  <c r="O33" i="12"/>
  <c r="O35" i="12"/>
  <c r="O37" i="12"/>
  <c r="O39" i="12"/>
  <c r="O41" i="12"/>
  <c r="O43" i="12"/>
  <c r="O45" i="12"/>
  <c r="O47" i="12"/>
  <c r="O49" i="12"/>
  <c r="O51" i="12"/>
  <c r="O53" i="12"/>
  <c r="O55" i="12"/>
  <c r="O57" i="12"/>
  <c r="O59" i="12"/>
  <c r="O61" i="12"/>
  <c r="O63" i="12"/>
  <c r="O69" i="12"/>
  <c r="O71" i="12"/>
  <c r="O73" i="12"/>
  <c r="O75" i="12"/>
  <c r="O77" i="12"/>
  <c r="O10" i="12"/>
  <c r="O12" i="12"/>
  <c r="O14" i="12"/>
  <c r="O16" i="12"/>
  <c r="O18" i="12"/>
  <c r="O20" i="12"/>
  <c r="O22" i="12"/>
  <c r="O24" i="12"/>
  <c r="O26" i="12"/>
  <c r="O28" i="12"/>
  <c r="O30" i="12"/>
  <c r="O32" i="12"/>
  <c r="O34" i="12"/>
  <c r="O36" i="12"/>
  <c r="O38" i="12"/>
  <c r="O40" i="12"/>
  <c r="O42" i="12"/>
  <c r="O44" i="12"/>
  <c r="O46" i="12"/>
  <c r="O48" i="12"/>
  <c r="O50" i="12"/>
  <c r="O52" i="12"/>
  <c r="O54" i="12"/>
  <c r="O56" i="12"/>
  <c r="O58" i="12"/>
  <c r="O60" i="12"/>
  <c r="O62" i="12"/>
  <c r="O68" i="12"/>
  <c r="O70" i="12"/>
  <c r="O72" i="12"/>
  <c r="O74" i="12"/>
  <c r="O76" i="12"/>
  <c r="O78" i="12"/>
  <c r="AJ52" i="37"/>
  <c r="AP32" i="37"/>
  <c r="AC239" i="7"/>
  <c r="Y161" i="7"/>
  <c r="X11" i="12"/>
  <c r="X13" i="12"/>
  <c r="X15" i="12"/>
  <c r="X17" i="12"/>
  <c r="X19" i="12"/>
  <c r="X21" i="12"/>
  <c r="X23" i="12"/>
  <c r="X25" i="12"/>
  <c r="X27" i="12"/>
  <c r="X29" i="12"/>
  <c r="X31" i="12"/>
  <c r="X33" i="12"/>
  <c r="X35" i="12"/>
  <c r="X37" i="12"/>
  <c r="X39" i="12"/>
  <c r="X41" i="12"/>
  <c r="X43" i="12"/>
  <c r="X45" i="12"/>
  <c r="X47" i="12"/>
  <c r="X49" i="12"/>
  <c r="X51" i="12"/>
  <c r="X53" i="12"/>
  <c r="X55" i="12"/>
  <c r="X57" i="12"/>
  <c r="X59" i="12"/>
  <c r="X61" i="12"/>
  <c r="X63" i="12"/>
  <c r="X69" i="12"/>
  <c r="X71" i="12"/>
  <c r="X73" i="12"/>
  <c r="X75" i="12"/>
  <c r="X77" i="12"/>
  <c r="X10" i="12"/>
  <c r="X12" i="12"/>
  <c r="X14" i="12"/>
  <c r="X16" i="12"/>
  <c r="X18" i="12"/>
  <c r="X20" i="12"/>
  <c r="X22" i="12"/>
  <c r="X24" i="12"/>
  <c r="X26" i="12"/>
  <c r="X28" i="12"/>
  <c r="X30" i="12"/>
  <c r="X32" i="12"/>
  <c r="X34" i="12"/>
  <c r="X36" i="12"/>
  <c r="X38" i="12"/>
  <c r="X40" i="12"/>
  <c r="X42" i="12"/>
  <c r="X44" i="12"/>
  <c r="X46" i="12"/>
  <c r="X48" i="12"/>
  <c r="X50" i="12"/>
  <c r="X52" i="12"/>
  <c r="X54" i="12"/>
  <c r="X56" i="12"/>
  <c r="X58" i="12"/>
  <c r="X60" i="12"/>
  <c r="X62" i="12"/>
  <c r="X68" i="12"/>
  <c r="X70" i="12"/>
  <c r="X72" i="12"/>
  <c r="X74" i="12"/>
  <c r="X76" i="12"/>
  <c r="X78" i="12"/>
  <c r="Z161" i="7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0" i="12"/>
  <c r="Y61" i="12"/>
  <c r="Y62" i="12"/>
  <c r="Y63" i="12"/>
  <c r="Y68" i="12"/>
  <c r="Y69" i="12"/>
  <c r="Y70" i="12"/>
  <c r="Y71" i="12"/>
  <c r="Y72" i="12"/>
  <c r="Y73" i="12"/>
  <c r="Y74" i="12"/>
  <c r="Y75" i="12"/>
  <c r="Y76" i="12"/>
  <c r="Y77" i="12"/>
  <c r="Y78" i="12"/>
  <c r="T161" i="7"/>
  <c r="S12" i="12"/>
  <c r="S14" i="12"/>
  <c r="S16" i="12"/>
  <c r="S18" i="12"/>
  <c r="S20" i="12"/>
  <c r="S22" i="12"/>
  <c r="S24" i="12"/>
  <c r="S26" i="12"/>
  <c r="S28" i="12"/>
  <c r="S30" i="12"/>
  <c r="S32" i="12"/>
  <c r="S34" i="12"/>
  <c r="S36" i="12"/>
  <c r="S38" i="12"/>
  <c r="S40" i="12"/>
  <c r="S42" i="12"/>
  <c r="S44" i="12"/>
  <c r="S46" i="12"/>
  <c r="S48" i="12"/>
  <c r="S50" i="12"/>
  <c r="S52" i="12"/>
  <c r="S54" i="12"/>
  <c r="S56" i="12"/>
  <c r="S58" i="12"/>
  <c r="S60" i="12"/>
  <c r="S62" i="12"/>
  <c r="S68" i="12"/>
  <c r="S70" i="12"/>
  <c r="S72" i="12"/>
  <c r="S74" i="12"/>
  <c r="S76" i="12"/>
  <c r="S78" i="12"/>
  <c r="S11" i="12"/>
  <c r="S13" i="12"/>
  <c r="S15" i="12"/>
  <c r="S17" i="12"/>
  <c r="S19" i="12"/>
  <c r="S21" i="12"/>
  <c r="S23" i="12"/>
  <c r="S25" i="12"/>
  <c r="S27" i="12"/>
  <c r="S29" i="12"/>
  <c r="S31" i="12"/>
  <c r="S33" i="12"/>
  <c r="S35" i="12"/>
  <c r="S37" i="12"/>
  <c r="S39" i="12"/>
  <c r="S41" i="12"/>
  <c r="S43" i="12"/>
  <c r="S45" i="12"/>
  <c r="S47" i="12"/>
  <c r="S49" i="12"/>
  <c r="S51" i="12"/>
  <c r="S53" i="12"/>
  <c r="S55" i="12"/>
  <c r="S57" i="12"/>
  <c r="S59" i="12"/>
  <c r="S61" i="12"/>
  <c r="S63" i="12"/>
  <c r="S69" i="12"/>
  <c r="S71" i="12"/>
  <c r="S73" i="12"/>
  <c r="S75" i="12"/>
  <c r="S77" i="12"/>
  <c r="S10" i="12"/>
  <c r="W161" i="7"/>
  <c r="V11" i="12"/>
  <c r="V13" i="12"/>
  <c r="V15" i="12"/>
  <c r="V17" i="12"/>
  <c r="V19" i="12"/>
  <c r="V21" i="12"/>
  <c r="V23" i="12"/>
  <c r="V25" i="12"/>
  <c r="V27" i="12"/>
  <c r="V29" i="12"/>
  <c r="V31" i="12"/>
  <c r="V33" i="12"/>
  <c r="V35" i="12"/>
  <c r="V37" i="12"/>
  <c r="V39" i="12"/>
  <c r="V41" i="12"/>
  <c r="V43" i="12"/>
  <c r="V45" i="12"/>
  <c r="V47" i="12"/>
  <c r="V49" i="12"/>
  <c r="V51" i="12"/>
  <c r="V53" i="12"/>
  <c r="V55" i="12"/>
  <c r="V57" i="12"/>
  <c r="V59" i="12"/>
  <c r="V61" i="12"/>
  <c r="V63" i="12"/>
  <c r="V69" i="12"/>
  <c r="V71" i="12"/>
  <c r="V73" i="12"/>
  <c r="V75" i="12"/>
  <c r="V77" i="12"/>
  <c r="V10" i="12"/>
  <c r="V12" i="12"/>
  <c r="V14" i="12"/>
  <c r="V16" i="12"/>
  <c r="V18" i="12"/>
  <c r="V20" i="12"/>
  <c r="V22" i="12"/>
  <c r="V24" i="12"/>
  <c r="V26" i="12"/>
  <c r="V28" i="12"/>
  <c r="V30" i="12"/>
  <c r="V32" i="12"/>
  <c r="V34" i="12"/>
  <c r="V36" i="12"/>
  <c r="V38" i="12"/>
  <c r="V40" i="12"/>
  <c r="V42" i="12"/>
  <c r="V44" i="12"/>
  <c r="V46" i="12"/>
  <c r="V48" i="12"/>
  <c r="V50" i="12"/>
  <c r="V52" i="12"/>
  <c r="V54" i="12"/>
  <c r="V56" i="12"/>
  <c r="V58" i="12"/>
  <c r="V60" i="12"/>
  <c r="V62" i="12"/>
  <c r="V68" i="12"/>
  <c r="V70" i="12"/>
  <c r="V72" i="12"/>
  <c r="V74" i="12"/>
  <c r="V76" i="12"/>
  <c r="V78" i="12"/>
  <c r="X161" i="7"/>
  <c r="W11" i="12"/>
  <c r="W13" i="12"/>
  <c r="W15" i="12"/>
  <c r="W17" i="12"/>
  <c r="W19" i="12"/>
  <c r="W21" i="12"/>
  <c r="W23" i="12"/>
  <c r="W25" i="12"/>
  <c r="W27" i="12"/>
  <c r="W29" i="12"/>
  <c r="W31" i="12"/>
  <c r="W33" i="12"/>
  <c r="W35" i="12"/>
  <c r="W37" i="12"/>
  <c r="W39" i="12"/>
  <c r="W41" i="12"/>
  <c r="W43" i="12"/>
  <c r="W45" i="12"/>
  <c r="W47" i="12"/>
  <c r="W49" i="12"/>
  <c r="W51" i="12"/>
  <c r="W53" i="12"/>
  <c r="W55" i="12"/>
  <c r="W57" i="12"/>
  <c r="W59" i="12"/>
  <c r="W61" i="12"/>
  <c r="W63" i="12"/>
  <c r="W69" i="12"/>
  <c r="W71" i="12"/>
  <c r="W73" i="12"/>
  <c r="W75" i="12"/>
  <c r="W77" i="12"/>
  <c r="W10" i="12"/>
  <c r="W12" i="12"/>
  <c r="W14" i="12"/>
  <c r="W16" i="12"/>
  <c r="W18" i="12"/>
  <c r="W20" i="12"/>
  <c r="W22" i="12"/>
  <c r="W24" i="12"/>
  <c r="W26" i="12"/>
  <c r="W28" i="12"/>
  <c r="W30" i="12"/>
  <c r="W32" i="12"/>
  <c r="W34" i="12"/>
  <c r="W36" i="12"/>
  <c r="W38" i="12"/>
  <c r="W40" i="12"/>
  <c r="W42" i="12"/>
  <c r="W44" i="12"/>
  <c r="W46" i="12"/>
  <c r="W48" i="12"/>
  <c r="W50" i="12"/>
  <c r="W52" i="12"/>
  <c r="W54" i="12"/>
  <c r="W56" i="12"/>
  <c r="W58" i="12"/>
  <c r="W60" i="12"/>
  <c r="W62" i="12"/>
  <c r="W68" i="12"/>
  <c r="W70" i="12"/>
  <c r="W72" i="12"/>
  <c r="W74" i="12"/>
  <c r="W76" i="12"/>
  <c r="W78" i="12"/>
  <c r="V161" i="7"/>
  <c r="U12" i="12"/>
  <c r="U14" i="12"/>
  <c r="U16" i="12"/>
  <c r="U18" i="12"/>
  <c r="U20" i="12"/>
  <c r="U22" i="12"/>
  <c r="U24" i="12"/>
  <c r="U26" i="12"/>
  <c r="U28" i="12"/>
  <c r="U30" i="12"/>
  <c r="U32" i="12"/>
  <c r="U34" i="12"/>
  <c r="U36" i="12"/>
  <c r="U38" i="12"/>
  <c r="U40" i="12"/>
  <c r="U42" i="12"/>
  <c r="U44" i="12"/>
  <c r="U46" i="12"/>
  <c r="U48" i="12"/>
  <c r="U50" i="12"/>
  <c r="U52" i="12"/>
  <c r="U54" i="12"/>
  <c r="U56" i="12"/>
  <c r="U58" i="12"/>
  <c r="U60" i="12"/>
  <c r="U62" i="12"/>
  <c r="U68" i="12"/>
  <c r="U70" i="12"/>
  <c r="U72" i="12"/>
  <c r="U74" i="12"/>
  <c r="U76" i="12"/>
  <c r="U78" i="12"/>
  <c r="U11" i="12"/>
  <c r="U13" i="12"/>
  <c r="U15" i="12"/>
  <c r="U17" i="12"/>
  <c r="U19" i="12"/>
  <c r="U21" i="12"/>
  <c r="U23" i="12"/>
  <c r="U25" i="12"/>
  <c r="U27" i="12"/>
  <c r="U29" i="12"/>
  <c r="U31" i="12"/>
  <c r="U33" i="12"/>
  <c r="U35" i="12"/>
  <c r="U37" i="12"/>
  <c r="U39" i="12"/>
  <c r="U41" i="12"/>
  <c r="U43" i="12"/>
  <c r="U45" i="12"/>
  <c r="U47" i="12"/>
  <c r="U49" i="12"/>
  <c r="U51" i="12"/>
  <c r="U53" i="12"/>
  <c r="U55" i="12"/>
  <c r="U57" i="12"/>
  <c r="U59" i="12"/>
  <c r="U61" i="12"/>
  <c r="U63" i="12"/>
  <c r="U69" i="12"/>
  <c r="U71" i="12"/>
  <c r="U73" i="12"/>
  <c r="U75" i="12"/>
  <c r="U77" i="12"/>
  <c r="U10" i="12"/>
  <c r="U161" i="7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8" i="12"/>
  <c r="T69" i="12"/>
  <c r="T70" i="12"/>
  <c r="T71" i="12"/>
  <c r="T72" i="12"/>
  <c r="T73" i="12"/>
  <c r="T74" i="12"/>
  <c r="T75" i="12"/>
  <c r="T76" i="12"/>
  <c r="T77" i="12"/>
  <c r="T78" i="12"/>
  <c r="S161" i="7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8" i="12"/>
  <c r="R69" i="12"/>
  <c r="R70" i="12"/>
  <c r="R71" i="12"/>
  <c r="R72" i="12"/>
  <c r="R73" i="12"/>
  <c r="R74" i="12"/>
  <c r="R75" i="12"/>
  <c r="R76" i="12"/>
  <c r="R77" i="12"/>
  <c r="R78" i="12"/>
  <c r="R161" i="7"/>
  <c r="Q12" i="12"/>
  <c r="Q14" i="12"/>
  <c r="Q16" i="12"/>
  <c r="Q18" i="12"/>
  <c r="Q20" i="12"/>
  <c r="Q22" i="12"/>
  <c r="Q24" i="12"/>
  <c r="Q26" i="12"/>
  <c r="Q28" i="12"/>
  <c r="Q30" i="12"/>
  <c r="Q32" i="12"/>
  <c r="Q34" i="12"/>
  <c r="Q36" i="12"/>
  <c r="Q38" i="12"/>
  <c r="Q40" i="12"/>
  <c r="Q42" i="12"/>
  <c r="Q44" i="12"/>
  <c r="Q46" i="12"/>
  <c r="Q48" i="12"/>
  <c r="Q50" i="12"/>
  <c r="Q52" i="12"/>
  <c r="Q54" i="12"/>
  <c r="Q56" i="12"/>
  <c r="Q58" i="12"/>
  <c r="Q60" i="12"/>
  <c r="Q62" i="12"/>
  <c r="Q68" i="12"/>
  <c r="Q70" i="12"/>
  <c r="Q72" i="12"/>
  <c r="Q74" i="12"/>
  <c r="Q76" i="12"/>
  <c r="Q78" i="12"/>
  <c r="Q11" i="12"/>
  <c r="Q13" i="12"/>
  <c r="Q15" i="12"/>
  <c r="Q17" i="12"/>
  <c r="Q19" i="12"/>
  <c r="Q21" i="12"/>
  <c r="Q23" i="12"/>
  <c r="Q25" i="12"/>
  <c r="Q27" i="12"/>
  <c r="Q29" i="12"/>
  <c r="Q31" i="12"/>
  <c r="Q33" i="12"/>
  <c r="Q35" i="12"/>
  <c r="Q37" i="12"/>
  <c r="Q39" i="12"/>
  <c r="Q41" i="12"/>
  <c r="Q43" i="12"/>
  <c r="Q45" i="12"/>
  <c r="Q47" i="12"/>
  <c r="Q49" i="12"/>
  <c r="Q51" i="12"/>
  <c r="Q53" i="12"/>
  <c r="Q55" i="12"/>
  <c r="Q57" i="12"/>
  <c r="Q59" i="12"/>
  <c r="Q61" i="12"/>
  <c r="Q63" i="12"/>
  <c r="Q69" i="12"/>
  <c r="Q71" i="12"/>
  <c r="Q73" i="12"/>
  <c r="Q75" i="12"/>
  <c r="Q77" i="12"/>
  <c r="Q10" i="12"/>
  <c r="Q161" i="7"/>
  <c r="P11" i="12"/>
  <c r="P13" i="12"/>
  <c r="P15" i="12"/>
  <c r="P17" i="12"/>
  <c r="P19" i="12"/>
  <c r="P21" i="12"/>
  <c r="P23" i="12"/>
  <c r="P25" i="12"/>
  <c r="P27" i="12"/>
  <c r="P29" i="12"/>
  <c r="P31" i="12"/>
  <c r="P33" i="12"/>
  <c r="P35" i="12"/>
  <c r="P37" i="12"/>
  <c r="P39" i="12"/>
  <c r="P41" i="12"/>
  <c r="P43" i="12"/>
  <c r="P45" i="12"/>
  <c r="P47" i="12"/>
  <c r="P49" i="12"/>
  <c r="P51" i="12"/>
  <c r="P53" i="12"/>
  <c r="P55" i="12"/>
  <c r="P57" i="12"/>
  <c r="P59" i="12"/>
  <c r="P61" i="12"/>
  <c r="P63" i="12"/>
  <c r="P69" i="12"/>
  <c r="P71" i="12"/>
  <c r="P73" i="12"/>
  <c r="P75" i="12"/>
  <c r="P77" i="12"/>
  <c r="P10" i="12"/>
  <c r="P12" i="12"/>
  <c r="P14" i="12"/>
  <c r="P16" i="12"/>
  <c r="P18" i="12"/>
  <c r="P20" i="12"/>
  <c r="P22" i="12"/>
  <c r="P24" i="12"/>
  <c r="P26" i="12"/>
  <c r="P28" i="12"/>
  <c r="P30" i="12"/>
  <c r="P32" i="12"/>
  <c r="P34" i="12"/>
  <c r="P36" i="12"/>
  <c r="P38" i="12"/>
  <c r="P40" i="12"/>
  <c r="P42" i="12"/>
  <c r="P44" i="12"/>
  <c r="P46" i="12"/>
  <c r="P48" i="12"/>
  <c r="P50" i="12"/>
  <c r="P52" i="12"/>
  <c r="P54" i="12"/>
  <c r="P56" i="12"/>
  <c r="P58" i="12"/>
  <c r="P60" i="12"/>
  <c r="P62" i="12"/>
  <c r="P68" i="12"/>
  <c r="P70" i="12"/>
  <c r="P72" i="12"/>
  <c r="P74" i="12"/>
  <c r="P76" i="12"/>
  <c r="P78" i="12"/>
  <c r="AC4" i="7"/>
  <c r="AA242" i="7"/>
  <c r="AC242" i="7" s="1"/>
  <c r="H18" i="38" s="1"/>
  <c r="AC240" i="7"/>
  <c r="AK241" i="7"/>
  <c r="AC241" i="7"/>
  <c r="AC18" i="7"/>
  <c r="AC14" i="7"/>
  <c r="AC12" i="7"/>
  <c r="AC6" i="7"/>
  <c r="W242" i="7"/>
  <c r="Y242" i="7" s="1"/>
  <c r="G18" i="38" s="1"/>
  <c r="AG241" i="7"/>
  <c r="AG239" i="7"/>
  <c r="AO241" i="7"/>
  <c r="AO239" i="7"/>
  <c r="AS241" i="7"/>
  <c r="AS239" i="7"/>
  <c r="F3" i="37"/>
  <c r="F39" i="37" s="1"/>
  <c r="F52" i="37" s="1"/>
  <c r="X39" i="37"/>
  <c r="X52" i="37" s="1"/>
  <c r="E45" i="33"/>
  <c r="E47" i="33" s="1"/>
  <c r="E49" i="33" s="1"/>
  <c r="M8" i="40"/>
  <c r="F9" i="39"/>
  <c r="F35" i="33"/>
  <c r="M9" i="40"/>
  <c r="F10" i="39"/>
  <c r="G45" i="33"/>
  <c r="G47" i="33" s="1"/>
  <c r="G49" i="33" s="1"/>
  <c r="M10" i="40"/>
  <c r="F11" i="39"/>
  <c r="H35" i="33"/>
  <c r="H37" i="33" s="1"/>
  <c r="M11" i="40"/>
  <c r="F12" i="39"/>
  <c r="I45" i="33"/>
  <c r="I47" i="33" s="1"/>
  <c r="I49" i="33" s="1"/>
  <c r="M12" i="40"/>
  <c r="F13" i="39"/>
  <c r="J35" i="33"/>
  <c r="J37" i="33" s="1"/>
  <c r="M13" i="40"/>
  <c r="F14" i="39"/>
  <c r="K45" i="33"/>
  <c r="K47" i="33" s="1"/>
  <c r="K49" i="33" s="1"/>
  <c r="M14" i="40"/>
  <c r="F15" i="39"/>
  <c r="L35" i="33"/>
  <c r="L37" i="33" s="1"/>
  <c r="M15" i="40"/>
  <c r="F16" i="39"/>
  <c r="M45" i="33"/>
  <c r="M47" i="33" s="1"/>
  <c r="M49" i="33" s="1"/>
  <c r="M16" i="40"/>
  <c r="F17" i="39"/>
  <c r="N35" i="33"/>
  <c r="N37" i="33" s="1"/>
  <c r="M17" i="40"/>
  <c r="F18" i="39"/>
  <c r="F6" i="40"/>
  <c r="F19" i="40" s="1"/>
  <c r="D45" i="4"/>
  <c r="M7" i="9"/>
  <c r="E45" i="4"/>
  <c r="M8" i="9"/>
  <c r="F45" i="4"/>
  <c r="M9" i="9"/>
  <c r="G45" i="4"/>
  <c r="M10" i="9"/>
  <c r="H45" i="4"/>
  <c r="M11" i="9"/>
  <c r="I45" i="4"/>
  <c r="M12" i="9"/>
  <c r="J45" i="4"/>
  <c r="M13" i="9"/>
  <c r="K45" i="4"/>
  <c r="M14" i="9"/>
  <c r="L45" i="4"/>
  <c r="M15" i="9"/>
  <c r="M45" i="4"/>
  <c r="M16" i="9"/>
  <c r="N45" i="4"/>
  <c r="M17" i="9"/>
  <c r="F10" i="34"/>
  <c r="F12" i="34" s="1"/>
  <c r="J10" i="34"/>
  <c r="J12" i="34" s="1"/>
  <c r="N10" i="34"/>
  <c r="N12" i="34" s="1"/>
  <c r="AA8" i="7"/>
  <c r="AC3" i="7"/>
  <c r="AC17" i="7"/>
  <c r="AC15" i="7"/>
  <c r="AC13" i="7"/>
  <c r="AC11" i="7"/>
  <c r="Z7" i="37"/>
  <c r="AB7" i="37" s="1"/>
  <c r="AE242" i="7"/>
  <c r="AG242" i="7" s="1"/>
  <c r="I18" i="38" s="1"/>
  <c r="AG240" i="7"/>
  <c r="AQ242" i="7"/>
  <c r="AS242" i="7" s="1"/>
  <c r="L18" i="38" s="1"/>
  <c r="AS240" i="7"/>
  <c r="AW241" i="7"/>
  <c r="AW239" i="7"/>
  <c r="C68" i="4"/>
  <c r="H21" i="36" s="1"/>
  <c r="AA211" i="7"/>
  <c r="C7" i="7"/>
  <c r="F242" i="7"/>
  <c r="H242" i="7" s="1"/>
  <c r="AO240" i="7"/>
  <c r="AW240" i="7"/>
  <c r="AB154" i="7"/>
  <c r="V242" i="7"/>
  <c r="X242" i="7" s="1"/>
  <c r="G18" i="28" s="1"/>
  <c r="X239" i="7"/>
  <c r="X241" i="7"/>
  <c r="Y239" i="7"/>
  <c r="Y241" i="7"/>
  <c r="Q3" i="37"/>
  <c r="S3" i="37" s="1"/>
  <c r="AC3" i="37"/>
  <c r="AE3" i="37" s="1"/>
  <c r="AM242" i="7"/>
  <c r="AO242" i="7" s="1"/>
  <c r="K18" i="38" s="1"/>
  <c r="AU242" i="7"/>
  <c r="AW242" i="7" s="1"/>
  <c r="M18" i="38" s="1"/>
  <c r="J242" i="7"/>
  <c r="L242" i="7" s="1"/>
  <c r="AC16" i="7"/>
  <c r="N45" i="33"/>
  <c r="N47" i="33" s="1"/>
  <c r="N49" i="33" s="1"/>
  <c r="M35" i="33"/>
  <c r="M37" i="33" s="1"/>
  <c r="L45" i="33"/>
  <c r="L47" i="33" s="1"/>
  <c r="L49" i="33" s="1"/>
  <c r="K35" i="33"/>
  <c r="K37" i="33" s="1"/>
  <c r="J45" i="33"/>
  <c r="J47" i="33" s="1"/>
  <c r="J49" i="33" s="1"/>
  <c r="I35" i="33"/>
  <c r="H45" i="33"/>
  <c r="H47" i="33" s="1"/>
  <c r="H49" i="33" s="1"/>
  <c r="G35" i="33"/>
  <c r="G37" i="33" s="1"/>
  <c r="F45" i="33"/>
  <c r="F47" i="33" s="1"/>
  <c r="F49" i="33" s="1"/>
  <c r="E35" i="33"/>
  <c r="E37" i="33" s="1"/>
  <c r="N35" i="4"/>
  <c r="M35" i="4"/>
  <c r="L35" i="4"/>
  <c r="K35" i="4"/>
  <c r="J35" i="4"/>
  <c r="I35" i="4"/>
  <c r="H35" i="4"/>
  <c r="G35" i="4"/>
  <c r="F35" i="4"/>
  <c r="H38" i="4" s="1"/>
  <c r="E35" i="4"/>
  <c r="AA26" i="7"/>
  <c r="D35" i="4"/>
  <c r="C35" i="4"/>
  <c r="C45" i="4"/>
  <c r="Q21" i="37"/>
  <c r="S21" i="37" s="1"/>
  <c r="N36" i="37"/>
  <c r="P36" i="37" s="1"/>
  <c r="H20" i="32"/>
  <c r="H22" i="32" s="1"/>
  <c r="N20" i="32"/>
  <c r="H28" i="32"/>
  <c r="H30" i="32" s="1"/>
  <c r="N28" i="32"/>
  <c r="H36" i="32"/>
  <c r="H38" i="32" s="1"/>
  <c r="N36" i="32"/>
  <c r="H81" i="34"/>
  <c r="H83" i="34" s="1"/>
  <c r="N81" i="34"/>
  <c r="N83" i="34" s="1"/>
  <c r="H24" i="35"/>
  <c r="H26" i="35" s="1"/>
  <c r="N24" i="35"/>
  <c r="N26" i="35" s="1"/>
  <c r="H42" i="35"/>
  <c r="H44" i="35" s="1"/>
  <c r="N42" i="35"/>
  <c r="N44" i="35" s="1"/>
  <c r="H92" i="35"/>
  <c r="H94" i="35" s="1"/>
  <c r="N92" i="35"/>
  <c r="N94" i="35" s="1"/>
  <c r="C10" i="34"/>
  <c r="C12" i="34" s="1"/>
  <c r="E10" i="34"/>
  <c r="E12" i="34" s="1"/>
  <c r="G10" i="34"/>
  <c r="G12" i="34" s="1"/>
  <c r="I10" i="34"/>
  <c r="I12" i="34" s="1"/>
  <c r="K10" i="34"/>
  <c r="K12" i="34" s="1"/>
  <c r="M10" i="34"/>
  <c r="M12" i="34" s="1"/>
  <c r="C21" i="34"/>
  <c r="C23" i="34" s="1"/>
  <c r="E21" i="34"/>
  <c r="E23" i="34" s="1"/>
  <c r="G21" i="34"/>
  <c r="G23" i="34" s="1"/>
  <c r="I21" i="34"/>
  <c r="I23" i="34" s="1"/>
  <c r="K21" i="34"/>
  <c r="K23" i="34" s="1"/>
  <c r="Z36" i="37"/>
  <c r="AB36" i="37" s="1"/>
  <c r="N7" i="37"/>
  <c r="P7" i="37" s="1"/>
  <c r="AC21" i="37"/>
  <c r="AE21" i="37" s="1"/>
  <c r="N79" i="33"/>
  <c r="N81" i="33" s="1"/>
  <c r="G4" i="37"/>
  <c r="T7" i="37"/>
  <c r="V7" i="37" s="1"/>
  <c r="AF7" i="37"/>
  <c r="AH7" i="37" s="1"/>
  <c r="G9" i="37"/>
  <c r="E21" i="37"/>
  <c r="G21" i="37" s="1"/>
  <c r="C28" i="33"/>
  <c r="C30" i="33" s="1"/>
  <c r="E28" i="33"/>
  <c r="E30" i="33" s="1"/>
  <c r="G28" i="33"/>
  <c r="G30" i="33" s="1"/>
  <c r="I28" i="33"/>
  <c r="I30" i="33" s="1"/>
  <c r="K28" i="33"/>
  <c r="K30" i="33" s="1"/>
  <c r="M28" i="33"/>
  <c r="M30" i="33" s="1"/>
  <c r="K79" i="33"/>
  <c r="K81" i="33" s="1"/>
  <c r="E81" i="34"/>
  <c r="E83" i="34" s="1"/>
  <c r="K81" i="34"/>
  <c r="K83" i="34" s="1"/>
  <c r="K24" i="35"/>
  <c r="K26" i="35" s="1"/>
  <c r="H32" i="35"/>
  <c r="H34" i="35" s="1"/>
  <c r="N32" i="35"/>
  <c r="N34" i="35" s="1"/>
  <c r="E42" i="35"/>
  <c r="E44" i="35" s="1"/>
  <c r="K42" i="35"/>
  <c r="K44" i="35" s="1"/>
  <c r="E92" i="35"/>
  <c r="E94" i="35" s="1"/>
  <c r="K92" i="35"/>
  <c r="K94" i="35" s="1"/>
  <c r="N3" i="37"/>
  <c r="P3" i="37" s="1"/>
  <c r="T3" i="37"/>
  <c r="V3" i="37" s="1"/>
  <c r="Z3" i="37"/>
  <c r="AB3" i="37" s="1"/>
  <c r="AF3" i="37"/>
  <c r="AL3" i="37"/>
  <c r="K21" i="37"/>
  <c r="M21" i="37" s="1"/>
  <c r="W21" i="37"/>
  <c r="Y21" i="37" s="1"/>
  <c r="AI21" i="37"/>
  <c r="AK21" i="37" s="1"/>
  <c r="G28" i="37"/>
  <c r="H36" i="37"/>
  <c r="J36" i="37" s="1"/>
  <c r="T36" i="37"/>
  <c r="V36" i="37" s="1"/>
  <c r="AF36" i="37"/>
  <c r="AH36" i="37" s="1"/>
  <c r="J54" i="32"/>
  <c r="N54" i="32"/>
  <c r="K20" i="32"/>
  <c r="K22" i="32" s="1"/>
  <c r="E28" i="32"/>
  <c r="E30" i="32" s="1"/>
  <c r="K28" i="32"/>
  <c r="K30" i="32" s="1"/>
  <c r="E36" i="32"/>
  <c r="E38" i="32" s="1"/>
  <c r="K36" i="32"/>
  <c r="K38" i="32" s="1"/>
  <c r="K55" i="32"/>
  <c r="K57" i="32" s="1"/>
  <c r="K54" i="32"/>
  <c r="M54" i="32"/>
  <c r="D28" i="33"/>
  <c r="D30" i="33" s="1"/>
  <c r="F28" i="33"/>
  <c r="F30" i="33" s="1"/>
  <c r="H28" i="33"/>
  <c r="H30" i="33" s="1"/>
  <c r="J28" i="33"/>
  <c r="J30" i="33" s="1"/>
  <c r="L28" i="33"/>
  <c r="L30" i="33" s="1"/>
  <c r="N28" i="33"/>
  <c r="N30" i="33" s="1"/>
  <c r="E20" i="32"/>
  <c r="E22" i="32" s="1"/>
  <c r="H7" i="37"/>
  <c r="J7" i="37" s="1"/>
  <c r="H54" i="32"/>
  <c r="G54" i="32"/>
  <c r="H79" i="33"/>
  <c r="H81" i="33" s="1"/>
  <c r="Q239" i="7"/>
  <c r="Q241" i="7"/>
  <c r="H55" i="32"/>
  <c r="H57" i="32" s="1"/>
  <c r="E54" i="32"/>
  <c r="D54" i="32"/>
  <c r="E79" i="33"/>
  <c r="E81" i="33" s="1"/>
  <c r="E24" i="35"/>
  <c r="E26" i="35" s="1"/>
  <c r="C45" i="32"/>
  <c r="C47" i="32" s="1"/>
  <c r="E55" i="32"/>
  <c r="E57" i="32" s="1"/>
  <c r="AQ4" i="37"/>
  <c r="H3" i="37"/>
  <c r="G6" i="37"/>
  <c r="G8" i="37"/>
  <c r="E7" i="37"/>
  <c r="G7" i="37" s="1"/>
  <c r="M8" i="37"/>
  <c r="K7" i="37"/>
  <c r="M7" i="37" s="1"/>
  <c r="S8" i="37"/>
  <c r="Q7" i="37"/>
  <c r="S7" i="37" s="1"/>
  <c r="Y8" i="37"/>
  <c r="W7" i="37"/>
  <c r="Y7" i="37" s="1"/>
  <c r="AE8" i="37"/>
  <c r="AC7" i="37"/>
  <c r="AE7" i="37" s="1"/>
  <c r="AK8" i="37"/>
  <c r="AI7" i="37"/>
  <c r="AK7" i="37" s="1"/>
  <c r="AK3" i="37"/>
  <c r="AQ13" i="37"/>
  <c r="AQ17" i="37"/>
  <c r="M41" i="37"/>
  <c r="S41" i="37"/>
  <c r="Y41" i="37"/>
  <c r="AE41" i="37"/>
  <c r="AK41" i="37"/>
  <c r="AF50" i="37"/>
  <c r="AH50" i="37" s="1"/>
  <c r="H21" i="37"/>
  <c r="J21" i="37" s="1"/>
  <c r="N21" i="37"/>
  <c r="P21" i="37" s="1"/>
  <c r="T21" i="37"/>
  <c r="V21" i="37" s="1"/>
  <c r="Z21" i="37"/>
  <c r="AB21" i="37" s="1"/>
  <c r="AF21" i="37"/>
  <c r="AH21" i="37" s="1"/>
  <c r="AL21" i="37"/>
  <c r="AN21" i="37" s="1"/>
  <c r="G32" i="37"/>
  <c r="E36" i="37"/>
  <c r="G36" i="37" s="1"/>
  <c r="K36" i="37"/>
  <c r="M36" i="37" s="1"/>
  <c r="Q36" i="37"/>
  <c r="S36" i="37" s="1"/>
  <c r="W36" i="37"/>
  <c r="Y36" i="37" s="1"/>
  <c r="AC36" i="37"/>
  <c r="AE36" i="37" s="1"/>
  <c r="AI36" i="37"/>
  <c r="AK36" i="37" s="1"/>
  <c r="E46" i="37"/>
  <c r="G46" i="37" s="1"/>
  <c r="K46" i="37"/>
  <c r="M46" i="37" s="1"/>
  <c r="AI46" i="37"/>
  <c r="AK46" i="37" s="1"/>
  <c r="F23" i="35"/>
  <c r="L23" i="35"/>
  <c r="F41" i="35"/>
  <c r="L41" i="35"/>
  <c r="C23" i="35"/>
  <c r="I23" i="35"/>
  <c r="C41" i="35"/>
  <c r="I41" i="35"/>
  <c r="F78" i="33"/>
  <c r="L78" i="33"/>
  <c r="D91" i="33"/>
  <c r="F91" i="33"/>
  <c r="H91" i="33"/>
  <c r="J91" i="33"/>
  <c r="L91" i="33"/>
  <c r="N91" i="33"/>
  <c r="C78" i="33"/>
  <c r="I78" i="33"/>
  <c r="C91" i="33"/>
  <c r="E91" i="33"/>
  <c r="G91" i="33"/>
  <c r="I91" i="33"/>
  <c r="K91" i="33"/>
  <c r="M91" i="33"/>
  <c r="D45" i="32"/>
  <c r="D47" i="32" s="1"/>
  <c r="F45" i="32"/>
  <c r="F47" i="32" s="1"/>
  <c r="H45" i="32"/>
  <c r="H47" i="32" s="1"/>
  <c r="J45" i="32"/>
  <c r="J47" i="32" s="1"/>
  <c r="L45" i="32"/>
  <c r="L47" i="32" s="1"/>
  <c r="N45" i="32"/>
  <c r="N47" i="32" s="1"/>
  <c r="F19" i="32"/>
  <c r="L19" i="32"/>
  <c r="E44" i="32"/>
  <c r="E45" i="32" s="1"/>
  <c r="E47" i="32" s="1"/>
  <c r="G44" i="32"/>
  <c r="G45" i="32" s="1"/>
  <c r="G47" i="32" s="1"/>
  <c r="I44" i="32"/>
  <c r="I45" i="32" s="1"/>
  <c r="I47" i="32" s="1"/>
  <c r="K44" i="32"/>
  <c r="K45" i="32" s="1"/>
  <c r="K47" i="32" s="1"/>
  <c r="M44" i="32"/>
  <c r="M45" i="32" s="1"/>
  <c r="M47" i="32" s="1"/>
  <c r="C54" i="32"/>
  <c r="I54" i="32"/>
  <c r="C19" i="32"/>
  <c r="I19" i="32"/>
  <c r="F54" i="32"/>
  <c r="L54" i="32"/>
  <c r="O242" i="7"/>
  <c r="Q242" i="7" s="1"/>
  <c r="E18" i="38" s="1"/>
  <c r="U240" i="7"/>
  <c r="AA212" i="7"/>
  <c r="G242" i="7"/>
  <c r="K242" i="7"/>
  <c r="M242" i="7" s="1"/>
  <c r="D18" i="38" s="1"/>
  <c r="AA154" i="7"/>
  <c r="U241" i="7"/>
  <c r="U239" i="7"/>
  <c r="M240" i="7"/>
  <c r="Q240" i="7"/>
  <c r="U243" i="7"/>
  <c r="H241" i="7"/>
  <c r="L240" i="7"/>
  <c r="S242" i="7"/>
  <c r="U242" i="7" s="1"/>
  <c r="F18" i="38" s="1"/>
  <c r="H240" i="7"/>
  <c r="L239" i="7"/>
  <c r="L243" i="7"/>
  <c r="L241" i="7"/>
  <c r="M239" i="7"/>
  <c r="M243" i="7"/>
  <c r="M241" i="7"/>
  <c r="H239" i="7"/>
  <c r="H243" i="7"/>
  <c r="C242" i="7"/>
  <c r="Z26" i="21"/>
  <c r="AA26" i="21"/>
  <c r="I26" i="21"/>
  <c r="H26" i="21"/>
  <c r="G26" i="21"/>
  <c r="F26" i="21"/>
  <c r="Z16" i="21"/>
  <c r="Z20" i="21"/>
  <c r="Z9" i="21"/>
  <c r="Z8" i="21"/>
  <c r="Z7" i="21"/>
  <c r="Z6" i="21"/>
  <c r="AB220" i="7"/>
  <c r="AB221" i="7"/>
  <c r="AB222" i="7"/>
  <c r="AB223" i="7"/>
  <c r="AB219" i="7"/>
  <c r="Y3" i="37" l="1"/>
  <c r="R52" i="37"/>
  <c r="AG52" i="37"/>
  <c r="AH3" i="37"/>
  <c r="F244" i="7"/>
  <c r="H250" i="7" s="1"/>
  <c r="K38" i="33"/>
  <c r="K40" i="33" s="1"/>
  <c r="AO7" i="37"/>
  <c r="AQ7" i="37" s="1"/>
  <c r="AO7" i="29"/>
  <c r="W244" i="7"/>
  <c r="Y251" i="7" s="1"/>
  <c r="G25" i="38" s="1"/>
  <c r="M19" i="9"/>
  <c r="AN3" i="37"/>
  <c r="AL39" i="37"/>
  <c r="M3" i="37"/>
  <c r="AO21" i="37"/>
  <c r="AQ21" i="37" s="1"/>
  <c r="AI39" i="37"/>
  <c r="I52" i="37"/>
  <c r="P41" i="37"/>
  <c r="Q39" i="37"/>
  <c r="N39" i="37"/>
  <c r="J244" i="7"/>
  <c r="Z67" i="12"/>
  <c r="Z66" i="12"/>
  <c r="Z65" i="12"/>
  <c r="V244" i="7"/>
  <c r="X248" i="7" s="1"/>
  <c r="G21" i="28" s="1"/>
  <c r="Z64" i="12"/>
  <c r="G3" i="37"/>
  <c r="N38" i="33"/>
  <c r="N40" i="33" s="1"/>
  <c r="H38" i="33"/>
  <c r="H40" i="33" s="1"/>
  <c r="Y252" i="7"/>
  <c r="G23" i="38" s="1"/>
  <c r="I37" i="33"/>
  <c r="F37" i="33"/>
  <c r="AL50" i="37"/>
  <c r="AN50" i="37" s="1"/>
  <c r="Z13" i="12"/>
  <c r="Z53" i="12"/>
  <c r="Z45" i="12"/>
  <c r="Z37" i="12"/>
  <c r="Z29" i="12"/>
  <c r="Z21" i="12"/>
  <c r="Z72" i="12"/>
  <c r="Z60" i="12"/>
  <c r="Z52" i="12"/>
  <c r="Z44" i="12"/>
  <c r="Z36" i="12"/>
  <c r="Z28" i="12"/>
  <c r="Z20" i="12"/>
  <c r="Z78" i="12"/>
  <c r="Z70" i="12"/>
  <c r="Z58" i="12"/>
  <c r="Z50" i="12"/>
  <c r="Z42" i="12"/>
  <c r="Z34" i="12"/>
  <c r="Z26" i="12"/>
  <c r="Z18" i="12"/>
  <c r="AC154" i="7"/>
  <c r="Z76" i="12"/>
  <c r="Z68" i="12"/>
  <c r="Z56" i="12"/>
  <c r="Z48" i="12"/>
  <c r="Z40" i="12"/>
  <c r="Z32" i="12"/>
  <c r="Z24" i="12"/>
  <c r="Z16" i="12"/>
  <c r="Z74" i="12"/>
  <c r="Z62" i="12"/>
  <c r="Z54" i="12"/>
  <c r="Z46" i="12"/>
  <c r="Z38" i="12"/>
  <c r="Z30" i="12"/>
  <c r="Z22" i="12"/>
  <c r="Z14" i="12"/>
  <c r="AA161" i="7"/>
  <c r="Z77" i="12"/>
  <c r="Z73" i="12"/>
  <c r="Z69" i="12"/>
  <c r="Z61" i="12"/>
  <c r="Z57" i="12"/>
  <c r="Z49" i="12"/>
  <c r="Z41" i="12"/>
  <c r="Z33" i="12"/>
  <c r="Z25" i="12"/>
  <c r="Z17" i="12"/>
  <c r="Z12" i="12"/>
  <c r="Z10" i="12"/>
  <c r="AO3" i="37"/>
  <c r="S80" i="12"/>
  <c r="O80" i="12"/>
  <c r="M80" i="12"/>
  <c r="K80" i="12"/>
  <c r="I80" i="12"/>
  <c r="G80" i="12"/>
  <c r="AI244" i="7"/>
  <c r="AQ32" i="37"/>
  <c r="AM52" i="37"/>
  <c r="AB19" i="7"/>
  <c r="O52" i="37"/>
  <c r="Y80" i="12"/>
  <c r="U80" i="12"/>
  <c r="W80" i="12"/>
  <c r="Z75" i="12"/>
  <c r="Z71" i="12"/>
  <c r="Z63" i="12"/>
  <c r="Z59" i="12"/>
  <c r="Z55" i="12"/>
  <c r="Z51" i="12"/>
  <c r="Z47" i="12"/>
  <c r="Z43" i="12"/>
  <c r="Z39" i="12"/>
  <c r="Z35" i="12"/>
  <c r="Z31" i="12"/>
  <c r="Z27" i="12"/>
  <c r="Z23" i="12"/>
  <c r="Z19" i="12"/>
  <c r="Z15" i="12"/>
  <c r="Z11" i="12"/>
  <c r="R80" i="12"/>
  <c r="Q80" i="12"/>
  <c r="O244" i="7"/>
  <c r="Q244" i="7" s="1"/>
  <c r="E19" i="38" s="1"/>
  <c r="AQ244" i="7"/>
  <c r="AA244" i="7"/>
  <c r="AB229" i="7"/>
  <c r="AB232" i="7"/>
  <c r="AM244" i="7"/>
  <c r="AO251" i="7" s="1"/>
  <c r="K25" i="38" s="1"/>
  <c r="AE244" i="7"/>
  <c r="C61" i="4"/>
  <c r="H20" i="36" s="1"/>
  <c r="AA7" i="7"/>
  <c r="AU244" i="7"/>
  <c r="K244" i="7"/>
  <c r="Y248" i="7"/>
  <c r="G21" i="38" s="1"/>
  <c r="AO36" i="37"/>
  <c r="AQ36" i="37" s="1"/>
  <c r="AQ37" i="37"/>
  <c r="AQ8" i="37"/>
  <c r="H39" i="37"/>
  <c r="J3" i="37"/>
  <c r="AI50" i="37"/>
  <c r="AK50" i="37" s="1"/>
  <c r="K50" i="37"/>
  <c r="M50" i="37" s="1"/>
  <c r="AC39" i="37"/>
  <c r="W39" i="37"/>
  <c r="K39" i="37"/>
  <c r="E39" i="37"/>
  <c r="AQ23" i="37"/>
  <c r="AF39" i="37"/>
  <c r="AF52" i="37" s="1"/>
  <c r="AF53" i="37" s="1"/>
  <c r="Z39" i="37"/>
  <c r="T39" i="37"/>
  <c r="AB224" i="7"/>
  <c r="AB230" i="7"/>
  <c r="AB228" i="7"/>
  <c r="AB231" i="7"/>
  <c r="Y249" i="7"/>
  <c r="G22" i="38" s="1"/>
  <c r="S244" i="7"/>
  <c r="Z36" i="29"/>
  <c r="G10" i="11"/>
  <c r="D154" i="7"/>
  <c r="H248" i="7" l="1"/>
  <c r="Y261" i="7"/>
  <c r="Y247" i="7"/>
  <c r="G20" i="38" s="1"/>
  <c r="L251" i="7"/>
  <c r="X244" i="7"/>
  <c r="G19" i="28" s="1"/>
  <c r="H251" i="7"/>
  <c r="H247" i="7"/>
  <c r="I9" i="3" s="1"/>
  <c r="H244" i="7"/>
  <c r="H249" i="7"/>
  <c r="Y250" i="7"/>
  <c r="G24" i="38" s="1"/>
  <c r="Y259" i="7"/>
  <c r="Y244" i="7"/>
  <c r="G19" i="38" s="1"/>
  <c r="X254" i="7"/>
  <c r="Q249" i="7"/>
  <c r="E22" i="38" s="1"/>
  <c r="X251" i="7"/>
  <c r="G25" i="28" s="1"/>
  <c r="L254" i="7"/>
  <c r="M259" i="7"/>
  <c r="M244" i="7"/>
  <c r="D19" i="38" s="1"/>
  <c r="L244" i="7"/>
  <c r="Q261" i="7"/>
  <c r="Q247" i="7"/>
  <c r="E20" i="38" s="1"/>
  <c r="M249" i="7"/>
  <c r="D22" i="38" s="1"/>
  <c r="M261" i="7"/>
  <c r="L259" i="7"/>
  <c r="L248" i="7"/>
  <c r="AQ3" i="37"/>
  <c r="AO39" i="37"/>
  <c r="AQ39" i="37" s="1"/>
  <c r="X250" i="7"/>
  <c r="G24" i="28" s="1"/>
  <c r="X249" i="7"/>
  <c r="G22" i="28" s="1"/>
  <c r="X260" i="7"/>
  <c r="X247" i="7"/>
  <c r="G20" i="28" s="1"/>
  <c r="Q248" i="7"/>
  <c r="E21" i="38" s="1"/>
  <c r="Q259" i="7"/>
  <c r="P254" i="7"/>
  <c r="Q251" i="7"/>
  <c r="E25" i="38" s="1"/>
  <c r="Q252" i="7"/>
  <c r="E23" i="38" s="1"/>
  <c r="M247" i="7"/>
  <c r="D20" i="38" s="1"/>
  <c r="M262" i="7"/>
  <c r="M250" i="7"/>
  <c r="D24" i="38" s="1"/>
  <c r="L247" i="7"/>
  <c r="J9" i="36" s="1"/>
  <c r="L249" i="7"/>
  <c r="L261" i="7"/>
  <c r="L250" i="7"/>
  <c r="M251" i="7"/>
  <c r="D25" i="38" s="1"/>
  <c r="M260" i="7"/>
  <c r="M252" i="7"/>
  <c r="D23" i="38" s="1"/>
  <c r="M248" i="7"/>
  <c r="D21" i="38" s="1"/>
  <c r="Q250" i="7"/>
  <c r="E24" i="38" s="1"/>
  <c r="AO249" i="7"/>
  <c r="K22" i="38" s="1"/>
  <c r="C64" i="12"/>
  <c r="AA64" i="12" s="1"/>
  <c r="C66" i="12"/>
  <c r="AA66" i="12" s="1"/>
  <c r="C65" i="12"/>
  <c r="AA65" i="12" s="1"/>
  <c r="C67" i="12"/>
  <c r="AA67" i="12" s="1"/>
  <c r="AO252" i="7"/>
  <c r="K23" i="38" s="1"/>
  <c r="AO248" i="7"/>
  <c r="K21" i="38" s="1"/>
  <c r="AO261" i="7"/>
  <c r="AO262" i="7"/>
  <c r="C11" i="12"/>
  <c r="C13" i="12"/>
  <c r="C15" i="12"/>
  <c r="C17" i="12"/>
  <c r="C19" i="12"/>
  <c r="C21" i="12"/>
  <c r="C23" i="12"/>
  <c r="C25" i="12"/>
  <c r="C27" i="12"/>
  <c r="C29" i="12"/>
  <c r="C31" i="12"/>
  <c r="C33" i="12"/>
  <c r="C35" i="12"/>
  <c r="C37" i="12"/>
  <c r="C39" i="12"/>
  <c r="C41" i="12"/>
  <c r="C43" i="12"/>
  <c r="C45" i="12"/>
  <c r="C47" i="12"/>
  <c r="C49" i="12"/>
  <c r="C51" i="12"/>
  <c r="C53" i="12"/>
  <c r="C55" i="12"/>
  <c r="C57" i="12"/>
  <c r="C59" i="12"/>
  <c r="C61" i="12"/>
  <c r="C63" i="12"/>
  <c r="C69" i="12"/>
  <c r="C71" i="12"/>
  <c r="C73" i="12"/>
  <c r="C75" i="12"/>
  <c r="C77" i="12"/>
  <c r="C10" i="12"/>
  <c r="C14" i="12"/>
  <c r="C18" i="12"/>
  <c r="C22" i="12"/>
  <c r="C26" i="12"/>
  <c r="C30" i="12"/>
  <c r="C34" i="12"/>
  <c r="C38" i="12"/>
  <c r="C42" i="12"/>
  <c r="C46" i="12"/>
  <c r="C50" i="12"/>
  <c r="C54" i="12"/>
  <c r="C58" i="12"/>
  <c r="C62" i="12"/>
  <c r="C70" i="12"/>
  <c r="C74" i="12"/>
  <c r="C78" i="12"/>
  <c r="C12" i="12"/>
  <c r="C16" i="12"/>
  <c r="C20" i="12"/>
  <c r="C24" i="12"/>
  <c r="C28" i="12"/>
  <c r="C32" i="12"/>
  <c r="C36" i="12"/>
  <c r="C40" i="12"/>
  <c r="C44" i="12"/>
  <c r="C48" i="12"/>
  <c r="C52" i="12"/>
  <c r="C56" i="12"/>
  <c r="C60" i="12"/>
  <c r="C68" i="12"/>
  <c r="C72" i="12"/>
  <c r="C76" i="12"/>
  <c r="G79" i="11"/>
  <c r="AA10" i="11"/>
  <c r="AA79" i="11" s="1"/>
  <c r="AO244" i="7"/>
  <c r="K19" i="38" s="1"/>
  <c r="AO250" i="7"/>
  <c r="K24" i="38" s="1"/>
  <c r="AO259" i="7"/>
  <c r="AN254" i="7"/>
  <c r="AO260" i="7"/>
  <c r="E12" i="12"/>
  <c r="E14" i="12"/>
  <c r="E16" i="12"/>
  <c r="E18" i="12"/>
  <c r="E20" i="12"/>
  <c r="E22" i="12"/>
  <c r="E24" i="12"/>
  <c r="E26" i="12"/>
  <c r="E28" i="12"/>
  <c r="E30" i="12"/>
  <c r="E32" i="12"/>
  <c r="E34" i="12"/>
  <c r="E36" i="12"/>
  <c r="E38" i="12"/>
  <c r="E40" i="12"/>
  <c r="E42" i="12"/>
  <c r="E44" i="12"/>
  <c r="E46" i="12"/>
  <c r="E48" i="12"/>
  <c r="E50" i="12"/>
  <c r="E52" i="12"/>
  <c r="E54" i="12"/>
  <c r="E56" i="12"/>
  <c r="E58" i="12"/>
  <c r="E60" i="12"/>
  <c r="E62" i="12"/>
  <c r="E68" i="12"/>
  <c r="E70" i="12"/>
  <c r="E72" i="12"/>
  <c r="E74" i="12"/>
  <c r="E76" i="12"/>
  <c r="E78" i="12"/>
  <c r="E13" i="12"/>
  <c r="E17" i="12"/>
  <c r="E21" i="12"/>
  <c r="E25" i="12"/>
  <c r="E29" i="12"/>
  <c r="E33" i="12"/>
  <c r="E37" i="12"/>
  <c r="E41" i="12"/>
  <c r="E45" i="12"/>
  <c r="E49" i="12"/>
  <c r="E53" i="12"/>
  <c r="E57" i="12"/>
  <c r="E61" i="12"/>
  <c r="E69" i="12"/>
  <c r="E73" i="12"/>
  <c r="E77" i="12"/>
  <c r="E11" i="12"/>
  <c r="E15" i="12"/>
  <c r="E19" i="12"/>
  <c r="E23" i="12"/>
  <c r="E27" i="12"/>
  <c r="E31" i="12"/>
  <c r="E35" i="12"/>
  <c r="E39" i="12"/>
  <c r="E43" i="12"/>
  <c r="E47" i="12"/>
  <c r="E51" i="12"/>
  <c r="E55" i="12"/>
  <c r="E59" i="12"/>
  <c r="E63" i="12"/>
  <c r="E71" i="12"/>
  <c r="E75" i="12"/>
  <c r="E10" i="12"/>
  <c r="AK261" i="7"/>
  <c r="AK250" i="7"/>
  <c r="J24" i="38" s="1"/>
  <c r="AK251" i="7"/>
  <c r="J25" i="38" s="1"/>
  <c r="AJ254" i="7"/>
  <c r="AK259" i="7"/>
  <c r="AK252" i="7"/>
  <c r="J23" i="38" s="1"/>
  <c r="AK248" i="7"/>
  <c r="J21" i="38" s="1"/>
  <c r="AK247" i="7"/>
  <c r="J20" i="38" s="1"/>
  <c r="AK249" i="7"/>
  <c r="J22" i="38" s="1"/>
  <c r="AK244" i="7"/>
  <c r="J19" i="38" s="1"/>
  <c r="AO247" i="7"/>
  <c r="K20" i="38" s="1"/>
  <c r="AC261" i="7"/>
  <c r="AC250" i="7"/>
  <c r="H24" i="38" s="1"/>
  <c r="AC247" i="7"/>
  <c r="H20" i="38" s="1"/>
  <c r="AC249" i="7"/>
  <c r="H22" i="38" s="1"/>
  <c r="AC259" i="7"/>
  <c r="AC252" i="7"/>
  <c r="H23" i="38" s="1"/>
  <c r="AC248" i="7"/>
  <c r="H21" i="38" s="1"/>
  <c r="AC251" i="7"/>
  <c r="H25" i="38" s="1"/>
  <c r="AB254" i="7"/>
  <c r="AC244" i="7"/>
  <c r="H19" i="38" s="1"/>
  <c r="AS261" i="7"/>
  <c r="AS252" i="7"/>
  <c r="L23" i="38" s="1"/>
  <c r="AS248" i="7"/>
  <c r="L21" i="38" s="1"/>
  <c r="AS251" i="7"/>
  <c r="L25" i="38" s="1"/>
  <c r="AR254" i="7"/>
  <c r="AS259" i="7"/>
  <c r="AS260" i="7"/>
  <c r="AS244" i="7"/>
  <c r="L19" i="38" s="1"/>
  <c r="AS250" i="7"/>
  <c r="L24" i="38" s="1"/>
  <c r="AS247" i="7"/>
  <c r="L20" i="38" s="1"/>
  <c r="AS249" i="7"/>
  <c r="L22" i="38" s="1"/>
  <c r="AS262" i="7"/>
  <c r="AW252" i="7"/>
  <c r="M23" i="38" s="1"/>
  <c r="AW248" i="7"/>
  <c r="M21" i="38" s="1"/>
  <c r="AW249" i="7"/>
  <c r="M22" i="38" s="1"/>
  <c r="AW250" i="7"/>
  <c r="M24" i="38" s="1"/>
  <c r="AW251" i="7"/>
  <c r="M25" i="38" s="1"/>
  <c r="AW247" i="7"/>
  <c r="M20" i="38" s="1"/>
  <c r="AG250" i="7"/>
  <c r="I24" i="38" s="1"/>
  <c r="AG251" i="7"/>
  <c r="I25" i="38" s="1"/>
  <c r="AG261" i="7"/>
  <c r="AF254" i="7"/>
  <c r="AG252" i="7"/>
  <c r="I23" i="38" s="1"/>
  <c r="AG248" i="7"/>
  <c r="I21" i="38" s="1"/>
  <c r="AG247" i="7"/>
  <c r="I20" i="38" s="1"/>
  <c r="AG249" i="7"/>
  <c r="I22" i="38" s="1"/>
  <c r="AG259" i="7"/>
  <c r="AG244" i="7"/>
  <c r="I19" i="38" s="1"/>
  <c r="AW261" i="7"/>
  <c r="AW259" i="7"/>
  <c r="AV254" i="7"/>
  <c r="AW260" i="7"/>
  <c r="AW262" i="7"/>
  <c r="AW244" i="7"/>
  <c r="M19" i="38" s="1"/>
  <c r="P39" i="37"/>
  <c r="AB39" i="37"/>
  <c r="AL52" i="37"/>
  <c r="AL53" i="37" s="1"/>
  <c r="AN39" i="37"/>
  <c r="G39" i="37"/>
  <c r="S39" i="37"/>
  <c r="AE39" i="37"/>
  <c r="J39" i="37"/>
  <c r="V39" i="37"/>
  <c r="AH39" i="37"/>
  <c r="M39" i="37"/>
  <c r="K52" i="37"/>
  <c r="K53" i="37" s="1"/>
  <c r="Y39" i="37"/>
  <c r="AK39" i="37"/>
  <c r="AI52" i="37"/>
  <c r="AI53" i="37" s="1"/>
  <c r="U261" i="7"/>
  <c r="U259" i="7"/>
  <c r="U244" i="7"/>
  <c r="F19" i="38" s="1"/>
  <c r="U250" i="7"/>
  <c r="F24" i="38" s="1"/>
  <c r="U247" i="7"/>
  <c r="F20" i="38" s="1"/>
  <c r="U251" i="7"/>
  <c r="F25" i="38" s="1"/>
  <c r="T254" i="7"/>
  <c r="U248" i="7"/>
  <c r="F21" i="38" s="1"/>
  <c r="U252" i="7"/>
  <c r="F23" i="38" s="1"/>
  <c r="U249" i="7"/>
  <c r="F22" i="38" s="1"/>
  <c r="X80" i="12"/>
  <c r="N12" i="16"/>
  <c r="AA37" i="21"/>
  <c r="Z37" i="21"/>
  <c r="Y37" i="21"/>
  <c r="X37" i="21"/>
  <c r="W37" i="21"/>
  <c r="V37" i="21"/>
  <c r="U37" i="21"/>
  <c r="T37" i="21"/>
  <c r="S37" i="21"/>
  <c r="R37" i="21"/>
  <c r="P37" i="21"/>
  <c r="Q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B37" i="21"/>
  <c r="Z25" i="21"/>
  <c r="Z22" i="21"/>
  <c r="Y25" i="21"/>
  <c r="X25" i="21"/>
  <c r="Y24" i="21"/>
  <c r="X24" i="21"/>
  <c r="Y23" i="21"/>
  <c r="X23" i="21"/>
  <c r="Y22" i="21"/>
  <c r="X22" i="21"/>
  <c r="Y21" i="21"/>
  <c r="X21" i="21"/>
  <c r="Y20" i="21"/>
  <c r="X20" i="21"/>
  <c r="Y19" i="21"/>
  <c r="X19" i="21"/>
  <c r="W25" i="21"/>
  <c r="V25" i="21"/>
  <c r="W24" i="21"/>
  <c r="V24" i="21"/>
  <c r="W23" i="21"/>
  <c r="V23" i="21"/>
  <c r="W22" i="21"/>
  <c r="V22" i="21"/>
  <c r="W21" i="21"/>
  <c r="V21" i="21"/>
  <c r="W20" i="21"/>
  <c r="V20" i="21"/>
  <c r="W19" i="21"/>
  <c r="V19" i="21"/>
  <c r="U25" i="21"/>
  <c r="T25" i="21"/>
  <c r="U24" i="21"/>
  <c r="T24" i="21"/>
  <c r="U23" i="21"/>
  <c r="T23" i="21"/>
  <c r="U22" i="21"/>
  <c r="T22" i="21"/>
  <c r="T21" i="21"/>
  <c r="U20" i="21"/>
  <c r="T20" i="21"/>
  <c r="U19" i="21"/>
  <c r="T19" i="21"/>
  <c r="R25" i="21"/>
  <c r="S24" i="21"/>
  <c r="R24" i="21"/>
  <c r="S23" i="21"/>
  <c r="R23" i="21"/>
  <c r="S22" i="21"/>
  <c r="S21" i="21"/>
  <c r="R21" i="21"/>
  <c r="S20" i="21"/>
  <c r="S19" i="21"/>
  <c r="R19" i="21"/>
  <c r="Q25" i="21"/>
  <c r="O22" i="21"/>
  <c r="N22" i="21"/>
  <c r="C20" i="21"/>
  <c r="B20" i="21"/>
  <c r="Y18" i="21"/>
  <c r="X18" i="21"/>
  <c r="W18" i="21"/>
  <c r="V18" i="21"/>
  <c r="U18" i="21"/>
  <c r="T18" i="21"/>
  <c r="S18" i="21"/>
  <c r="R18" i="21"/>
  <c r="Y17" i="21"/>
  <c r="X17" i="21"/>
  <c r="W17" i="21"/>
  <c r="V17" i="21"/>
  <c r="U17" i="21"/>
  <c r="T17" i="21"/>
  <c r="S17" i="21"/>
  <c r="R17" i="21"/>
  <c r="Y16" i="21"/>
  <c r="X16" i="21"/>
  <c r="W16" i="21"/>
  <c r="V16" i="21"/>
  <c r="U16" i="21"/>
  <c r="T16" i="21"/>
  <c r="S16" i="21"/>
  <c r="R16" i="21"/>
  <c r="O16" i="21"/>
  <c r="N16" i="21"/>
  <c r="K16" i="21"/>
  <c r="J16" i="21"/>
  <c r="I16" i="21"/>
  <c r="H16" i="21"/>
  <c r="C16" i="21"/>
  <c r="B16" i="21"/>
  <c r="Y15" i="21"/>
  <c r="X15" i="21"/>
  <c r="W15" i="21"/>
  <c r="V15" i="21"/>
  <c r="U15" i="21"/>
  <c r="T15" i="21"/>
  <c r="S15" i="21"/>
  <c r="R15" i="21"/>
  <c r="Z14" i="21"/>
  <c r="Y14" i="21"/>
  <c r="X14" i="21"/>
  <c r="W14" i="21"/>
  <c r="V14" i="21"/>
  <c r="U14" i="21"/>
  <c r="T14" i="21"/>
  <c r="S14" i="21"/>
  <c r="R14" i="21"/>
  <c r="O14" i="21"/>
  <c r="N14" i="21"/>
  <c r="H14" i="21"/>
  <c r="Y13" i="21"/>
  <c r="X13" i="21"/>
  <c r="W13" i="21"/>
  <c r="V13" i="21"/>
  <c r="U13" i="21"/>
  <c r="T13" i="21"/>
  <c r="S13" i="21"/>
  <c r="R13" i="21"/>
  <c r="O13" i="21"/>
  <c r="N13" i="21"/>
  <c r="M13" i="21"/>
  <c r="L13" i="21"/>
  <c r="H13" i="21"/>
  <c r="F13" i="21"/>
  <c r="G13" i="21"/>
  <c r="C13" i="21"/>
  <c r="B13" i="21"/>
  <c r="Y12" i="21"/>
  <c r="X12" i="21"/>
  <c r="W12" i="21"/>
  <c r="V12" i="21"/>
  <c r="U12" i="21"/>
  <c r="T12" i="21"/>
  <c r="S12" i="21"/>
  <c r="R12" i="21"/>
  <c r="Y11" i="21"/>
  <c r="X11" i="21"/>
  <c r="W11" i="21"/>
  <c r="V11" i="21"/>
  <c r="U11" i="21"/>
  <c r="T11" i="21"/>
  <c r="S11" i="21"/>
  <c r="R11" i="21"/>
  <c r="Y10" i="21"/>
  <c r="X10" i="21"/>
  <c r="W10" i="21"/>
  <c r="V10" i="21"/>
  <c r="U10" i="21"/>
  <c r="T10" i="21"/>
  <c r="S10" i="21"/>
  <c r="R10" i="21"/>
  <c r="Y9" i="21"/>
  <c r="X9" i="21"/>
  <c r="W9" i="21"/>
  <c r="V9" i="21"/>
  <c r="U9" i="21"/>
  <c r="T9" i="21"/>
  <c r="S9" i="21"/>
  <c r="R9" i="21"/>
  <c r="Q9" i="21"/>
  <c r="P9" i="21"/>
  <c r="O9" i="21"/>
  <c r="N9" i="21"/>
  <c r="K9" i="21"/>
  <c r="J9" i="21"/>
  <c r="G9" i="21"/>
  <c r="F9" i="21"/>
  <c r="E9" i="21"/>
  <c r="D9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K8" i="21"/>
  <c r="J8" i="21"/>
  <c r="I8" i="21"/>
  <c r="H8" i="21"/>
  <c r="F8" i="21"/>
  <c r="G8" i="21"/>
  <c r="E8" i="21"/>
  <c r="D8" i="21"/>
  <c r="C8" i="21"/>
  <c r="B8" i="21"/>
  <c r="Y7" i="21"/>
  <c r="X7" i="21"/>
  <c r="W7" i="21"/>
  <c r="V7" i="21"/>
  <c r="U7" i="21"/>
  <c r="T7" i="21"/>
  <c r="S7" i="21"/>
  <c r="R7" i="21"/>
  <c r="O7" i="21"/>
  <c r="N7" i="21"/>
  <c r="Y6" i="21"/>
  <c r="X6" i="21"/>
  <c r="W6" i="21"/>
  <c r="V6" i="21"/>
  <c r="U6" i="21"/>
  <c r="T6" i="21"/>
  <c r="S6" i="21"/>
  <c r="R6" i="21"/>
  <c r="O6" i="21"/>
  <c r="N6" i="21"/>
  <c r="M6" i="21"/>
  <c r="L6" i="21"/>
  <c r="I6" i="21"/>
  <c r="H6" i="21"/>
  <c r="F6" i="21"/>
  <c r="G6" i="21"/>
  <c r="E6" i="21"/>
  <c r="D6" i="21"/>
  <c r="C6" i="21"/>
  <c r="B6" i="21"/>
  <c r="I9" i="36" l="1"/>
  <c r="M9" i="36"/>
  <c r="AA72" i="12"/>
  <c r="AA60" i="12"/>
  <c r="AA52" i="12"/>
  <c r="AA44" i="12"/>
  <c r="AA36" i="12"/>
  <c r="AA28" i="12"/>
  <c r="AA20" i="12"/>
  <c r="AA12" i="12"/>
  <c r="AA74" i="12"/>
  <c r="AA62" i="12"/>
  <c r="AA54" i="12"/>
  <c r="AA46" i="12"/>
  <c r="AA38" i="12"/>
  <c r="AA30" i="12"/>
  <c r="AA22" i="12"/>
  <c r="AA14" i="12"/>
  <c r="AA77" i="12"/>
  <c r="AA73" i="12"/>
  <c r="AA69" i="12"/>
  <c r="AA61" i="12"/>
  <c r="AA57" i="12"/>
  <c r="AA53" i="12"/>
  <c r="AA49" i="12"/>
  <c r="AA45" i="12"/>
  <c r="AA41" i="12"/>
  <c r="AA37" i="12"/>
  <c r="AA33" i="12"/>
  <c r="AA29" i="12"/>
  <c r="AA25" i="12"/>
  <c r="AA21" i="12"/>
  <c r="AA17" i="12"/>
  <c r="AA13" i="12"/>
  <c r="E80" i="12"/>
  <c r="AA76" i="12"/>
  <c r="AA68" i="12"/>
  <c r="AA56" i="12"/>
  <c r="AA48" i="12"/>
  <c r="AA40" i="12"/>
  <c r="AA32" i="12"/>
  <c r="AA24" i="12"/>
  <c r="AA16" i="12"/>
  <c r="AA78" i="12"/>
  <c r="AA70" i="12"/>
  <c r="AA58" i="12"/>
  <c r="AA50" i="12"/>
  <c r="AA42" i="12"/>
  <c r="AA34" i="12"/>
  <c r="AA26" i="12"/>
  <c r="AA18" i="12"/>
  <c r="C80" i="12"/>
  <c r="AA10" i="12"/>
  <c r="AA75" i="12"/>
  <c r="AA71" i="12"/>
  <c r="AA63" i="12"/>
  <c r="AA59" i="12"/>
  <c r="AA55" i="12"/>
  <c r="AA51" i="12"/>
  <c r="AA47" i="12"/>
  <c r="AA43" i="12"/>
  <c r="AA39" i="12"/>
  <c r="AA35" i="12"/>
  <c r="AA31" i="12"/>
  <c r="AA27" i="12"/>
  <c r="AA23" i="12"/>
  <c r="AA19" i="12"/>
  <c r="AA15" i="12"/>
  <c r="AA11" i="12"/>
  <c r="L80" i="12"/>
  <c r="H80" i="12"/>
  <c r="AK52" i="37"/>
  <c r="X5" i="7"/>
  <c r="M52" i="37"/>
  <c r="H5" i="7"/>
  <c r="AH52" i="37"/>
  <c r="V5" i="7"/>
  <c r="AN52" i="37"/>
  <c r="Z5" i="7"/>
  <c r="D80" i="12"/>
  <c r="B80" i="12"/>
  <c r="V80" i="12"/>
  <c r="J80" i="12"/>
  <c r="F80" i="12"/>
  <c r="T80" i="12"/>
  <c r="P80" i="12"/>
  <c r="N80" i="12"/>
  <c r="F211" i="7"/>
  <c r="F7" i="7" s="1"/>
  <c r="D61" i="33" s="1"/>
  <c r="D63" i="33" s="1"/>
  <c r="F212" i="7"/>
  <c r="F8" i="7" s="1"/>
  <c r="D68" i="33" s="1"/>
  <c r="D70" i="33" s="1"/>
  <c r="D15" i="18"/>
  <c r="C15" i="18"/>
  <c r="B15" i="18"/>
  <c r="AA80" i="12" l="1"/>
  <c r="P18" i="39"/>
  <c r="R18" i="39" s="1"/>
  <c r="N7" i="32"/>
  <c r="N9" i="32" s="1"/>
  <c r="N12" i="32" s="1"/>
  <c r="AU263" i="7"/>
  <c r="AW263" i="7" s="1"/>
  <c r="P16" i="39"/>
  <c r="R16" i="39" s="1"/>
  <c r="AM263" i="7"/>
  <c r="AO263" i="7" s="1"/>
  <c r="L7" i="32"/>
  <c r="P9" i="39"/>
  <c r="R9" i="39" s="1"/>
  <c r="E7" i="32"/>
  <c r="E9" i="32" s="1"/>
  <c r="K263" i="7"/>
  <c r="M263" i="7" s="1"/>
  <c r="P17" i="39"/>
  <c r="R17" i="39" s="1"/>
  <c r="AQ263" i="7"/>
  <c r="AS263" i="7" s="1"/>
  <c r="M7" i="32"/>
  <c r="M9" i="32" s="1"/>
  <c r="Z80" i="12"/>
  <c r="AN50" i="29"/>
  <c r="AK50" i="29"/>
  <c r="AE50" i="29"/>
  <c r="Z49" i="29"/>
  <c r="Y50" i="29"/>
  <c r="T49" i="29"/>
  <c r="P50" i="29"/>
  <c r="AI46" i="29"/>
  <c r="AP259" i="7" s="1"/>
  <c r="AN45" i="29"/>
  <c r="AK45" i="29"/>
  <c r="AK40" i="29"/>
  <c r="AE40" i="29"/>
  <c r="Y40" i="29"/>
  <c r="S40" i="29"/>
  <c r="M40" i="29"/>
  <c r="J40" i="29"/>
  <c r="AK29" i="29"/>
  <c r="AH29" i="29"/>
  <c r="AB29" i="29"/>
  <c r="V29" i="29"/>
  <c r="S29" i="29"/>
  <c r="M28" i="29"/>
  <c r="AH28" i="29"/>
  <c r="AN28" i="29"/>
  <c r="J28" i="29"/>
  <c r="AN25" i="29"/>
  <c r="AE25" i="29"/>
  <c r="P25" i="29"/>
  <c r="M25" i="29"/>
  <c r="J25" i="29"/>
  <c r="AK23" i="29"/>
  <c r="AE23" i="29"/>
  <c r="Y23" i="29"/>
  <c r="J23" i="29"/>
  <c r="AN9" i="29"/>
  <c r="AE9" i="29"/>
  <c r="S9" i="29"/>
  <c r="M9" i="29"/>
  <c r="AH8" i="29"/>
  <c r="AE8" i="29"/>
  <c r="Y8" i="29"/>
  <c r="S8" i="29"/>
  <c r="J8" i="29"/>
  <c r="AK6" i="29"/>
  <c r="AE6" i="29"/>
  <c r="J6" i="29"/>
  <c r="AP50" i="29"/>
  <c r="AP49" i="29" s="1"/>
  <c r="AP48" i="29"/>
  <c r="AP47" i="29"/>
  <c r="AP45" i="29"/>
  <c r="AP44" i="29" s="1"/>
  <c r="AP40" i="29"/>
  <c r="AP39" i="29" s="1"/>
  <c r="AO36" i="29"/>
  <c r="AP38" i="29"/>
  <c r="AP37" i="29"/>
  <c r="AM35" i="29"/>
  <c r="AL35" i="29"/>
  <c r="AJ35" i="29"/>
  <c r="AI35" i="29"/>
  <c r="W19" i="7" s="1"/>
  <c r="AP252" i="7" s="1"/>
  <c r="AG35" i="29"/>
  <c r="AF35" i="29"/>
  <c r="U19" i="7" s="1"/>
  <c r="AL252" i="7" s="1"/>
  <c r="AD35" i="29"/>
  <c r="AC35" i="29"/>
  <c r="S19" i="7" s="1"/>
  <c r="AH252" i="7" s="1"/>
  <c r="AA35" i="29"/>
  <c r="Z35" i="29"/>
  <c r="Q19" i="7" s="1"/>
  <c r="AD252" i="7" s="1"/>
  <c r="X35" i="29"/>
  <c r="W35" i="29"/>
  <c r="O19" i="7" s="1"/>
  <c r="Z252" i="7" s="1"/>
  <c r="U35" i="29"/>
  <c r="T35" i="29"/>
  <c r="M19" i="7" s="1"/>
  <c r="V252" i="7" s="1"/>
  <c r="R35" i="29"/>
  <c r="Q35" i="29"/>
  <c r="K19" i="7" s="1"/>
  <c r="R252" i="7" s="1"/>
  <c r="K35" i="29"/>
  <c r="G19" i="7" s="1"/>
  <c r="J252" i="7" s="1"/>
  <c r="O35" i="29"/>
  <c r="I19" i="7"/>
  <c r="N252" i="7" s="1"/>
  <c r="H35" i="29"/>
  <c r="AP23" i="29"/>
  <c r="AP24" i="29"/>
  <c r="AQ24" i="29" s="1"/>
  <c r="AP25" i="29"/>
  <c r="AP26" i="29"/>
  <c r="AP27" i="29"/>
  <c r="AP28" i="29"/>
  <c r="AP29" i="29"/>
  <c r="AP30" i="29"/>
  <c r="AP31" i="29"/>
  <c r="AP22" i="29"/>
  <c r="AQ22" i="29" s="1"/>
  <c r="AP18" i="29"/>
  <c r="AQ18" i="29" s="1"/>
  <c r="AP19" i="29"/>
  <c r="AQ19" i="29" s="1"/>
  <c r="AP20" i="29"/>
  <c r="AP17" i="29"/>
  <c r="AQ17" i="29" s="1"/>
  <c r="AO16" i="29"/>
  <c r="AP14" i="29"/>
  <c r="AP15" i="29"/>
  <c r="AQ15" i="29" s="1"/>
  <c r="AP13" i="29"/>
  <c r="AQ13" i="29" s="1"/>
  <c r="AP9" i="29"/>
  <c r="AP10" i="29"/>
  <c r="AQ10" i="29" s="1"/>
  <c r="AP8" i="29"/>
  <c r="AP5" i="29"/>
  <c r="AQ5" i="29" s="1"/>
  <c r="AP6" i="29"/>
  <c r="AP4" i="29"/>
  <c r="AQ47" i="29"/>
  <c r="AQ37" i="29"/>
  <c r="AQ31" i="29"/>
  <c r="AQ30" i="29"/>
  <c r="AQ27" i="29"/>
  <c r="AQ26" i="29"/>
  <c r="AQ20" i="29"/>
  <c r="AM49" i="29"/>
  <c r="AN48" i="29"/>
  <c r="AN47" i="29"/>
  <c r="AM46" i="29"/>
  <c r="AL46" i="29"/>
  <c r="AT259" i="7" s="1"/>
  <c r="AM44" i="29"/>
  <c r="AN40" i="29"/>
  <c r="AM39" i="29"/>
  <c r="AN38" i="29"/>
  <c r="AN37" i="29"/>
  <c r="AM36" i="29"/>
  <c r="AN36" i="29" s="1"/>
  <c r="AN31" i="29"/>
  <c r="AN30" i="29"/>
  <c r="AN29" i="29"/>
  <c r="AN27" i="29"/>
  <c r="AN26" i="29"/>
  <c r="AN24" i="29"/>
  <c r="AN23" i="29"/>
  <c r="AN22" i="29"/>
  <c r="AM21" i="29"/>
  <c r="AN20" i="29"/>
  <c r="AN19" i="29"/>
  <c r="AN18" i="29"/>
  <c r="AN17" i="29"/>
  <c r="AM16" i="29"/>
  <c r="AL16" i="29"/>
  <c r="AN15" i="29"/>
  <c r="AN14" i="29"/>
  <c r="AN13" i="29"/>
  <c r="AM12" i="29"/>
  <c r="AN10" i="29"/>
  <c r="AN8" i="29"/>
  <c r="AM7" i="29"/>
  <c r="AN6" i="29"/>
  <c r="AN5" i="29"/>
  <c r="AM3" i="29"/>
  <c r="AJ49" i="29"/>
  <c r="AK48" i="29"/>
  <c r="AK47" i="29"/>
  <c r="AJ46" i="29"/>
  <c r="AJ44" i="29"/>
  <c r="AJ53" i="29" s="1"/>
  <c r="AJ39" i="29"/>
  <c r="AK38" i="29"/>
  <c r="AK37" i="29"/>
  <c r="AJ36" i="29"/>
  <c r="AI36" i="29"/>
  <c r="AK31" i="29"/>
  <c r="AK30" i="29"/>
  <c r="AK28" i="29"/>
  <c r="AK27" i="29"/>
  <c r="AK26" i="29"/>
  <c r="AK25" i="29"/>
  <c r="AK24" i="29"/>
  <c r="AK22" i="29"/>
  <c r="AJ21" i="29"/>
  <c r="AK20" i="29"/>
  <c r="AK19" i="29"/>
  <c r="AK18" i="29"/>
  <c r="AK17" i="29"/>
  <c r="AJ16" i="29"/>
  <c r="AI16" i="29"/>
  <c r="AK15" i="29"/>
  <c r="AK14" i="29"/>
  <c r="AK13" i="29"/>
  <c r="AJ12" i="29"/>
  <c r="AK10" i="29"/>
  <c r="AK9" i="29"/>
  <c r="AK8" i="29"/>
  <c r="AJ7" i="29"/>
  <c r="AK5" i="29"/>
  <c r="AJ3" i="29"/>
  <c r="AH50" i="29"/>
  <c r="AH47" i="29"/>
  <c r="AH40" i="29"/>
  <c r="AH38" i="29"/>
  <c r="AH37" i="29"/>
  <c r="AH31" i="29"/>
  <c r="AH30" i="29"/>
  <c r="AH27" i="29"/>
  <c r="AH26" i="29"/>
  <c r="AH25" i="29"/>
  <c r="AH24" i="29"/>
  <c r="AH22" i="29"/>
  <c r="AH20" i="29"/>
  <c r="AH19" i="29"/>
  <c r="AH18" i="29"/>
  <c r="AH17" i="29"/>
  <c r="AH15" i="29"/>
  <c r="AH13" i="29"/>
  <c r="AH10" i="29"/>
  <c r="AH9" i="29"/>
  <c r="AH6" i="29"/>
  <c r="AH5" i="29"/>
  <c r="AD49" i="29"/>
  <c r="AE48" i="29"/>
  <c r="AE47" i="29"/>
  <c r="AD46" i="29"/>
  <c r="AE45" i="29"/>
  <c r="AD44" i="29"/>
  <c r="AD53" i="29" s="1"/>
  <c r="AD39" i="29"/>
  <c r="AE38" i="29"/>
  <c r="AE37" i="29"/>
  <c r="AD36" i="29"/>
  <c r="AC36" i="29"/>
  <c r="AE35" i="29"/>
  <c r="AE31" i="29"/>
  <c r="AE30" i="29"/>
  <c r="AE29" i="29"/>
  <c r="AE28" i="29"/>
  <c r="AE27" i="29"/>
  <c r="AE26" i="29"/>
  <c r="AE24" i="29"/>
  <c r="AE22" i="29"/>
  <c r="AD21" i="29"/>
  <c r="AE20" i="29"/>
  <c r="AE19" i="29"/>
  <c r="AE18" i="29"/>
  <c r="AE17" i="29"/>
  <c r="AD16" i="29"/>
  <c r="AC16" i="29"/>
  <c r="AE15" i="29"/>
  <c r="AE14" i="29"/>
  <c r="AE13" i="29"/>
  <c r="AD12" i="29"/>
  <c r="AE10" i="29"/>
  <c r="AD7" i="29"/>
  <c r="AE5" i="29"/>
  <c r="AD3" i="29"/>
  <c r="AB50" i="29"/>
  <c r="AB47" i="29"/>
  <c r="AB38" i="29"/>
  <c r="AB37" i="29"/>
  <c r="AB31" i="29"/>
  <c r="AB30" i="29"/>
  <c r="AB27" i="29"/>
  <c r="AB26" i="29"/>
  <c r="AB24" i="29"/>
  <c r="AB22" i="29"/>
  <c r="AB20" i="29"/>
  <c r="AB19" i="29"/>
  <c r="AB18" i="29"/>
  <c r="AB17" i="29"/>
  <c r="AB15" i="29"/>
  <c r="AB13" i="29"/>
  <c r="AB10" i="29"/>
  <c r="AB6" i="29"/>
  <c r="AB5" i="29"/>
  <c r="K36" i="29"/>
  <c r="N36" i="29"/>
  <c r="Q36" i="29"/>
  <c r="T36" i="29"/>
  <c r="W36" i="29"/>
  <c r="X49" i="29"/>
  <c r="Y47" i="29"/>
  <c r="X46" i="29"/>
  <c r="X44" i="29"/>
  <c r="X39" i="29"/>
  <c r="Y38" i="29"/>
  <c r="Y37" i="29"/>
  <c r="X36" i="29"/>
  <c r="Y31" i="29"/>
  <c r="Y30" i="29"/>
  <c r="Y29" i="29"/>
  <c r="Y28" i="29"/>
  <c r="Y27" i="29"/>
  <c r="Y26" i="29"/>
  <c r="Y24" i="29"/>
  <c r="Y22" i="29"/>
  <c r="X21" i="29"/>
  <c r="Y20" i="29"/>
  <c r="Y19" i="29"/>
  <c r="Y18" i="29"/>
  <c r="Y17" i="29"/>
  <c r="X16" i="29"/>
  <c r="Y15" i="29"/>
  <c r="Y14" i="29"/>
  <c r="Y13" i="29"/>
  <c r="X12" i="29"/>
  <c r="Y10" i="29"/>
  <c r="Y9" i="29"/>
  <c r="X7" i="29"/>
  <c r="Y5" i="29"/>
  <c r="X3" i="29"/>
  <c r="U49" i="29"/>
  <c r="V47" i="29"/>
  <c r="U46" i="29"/>
  <c r="U44" i="29"/>
  <c r="U39" i="29"/>
  <c r="V38" i="29"/>
  <c r="V37" i="29"/>
  <c r="U36" i="29"/>
  <c r="V31" i="29"/>
  <c r="V30" i="29"/>
  <c r="V27" i="29"/>
  <c r="V26" i="29"/>
  <c r="V24" i="29"/>
  <c r="V22" i="29"/>
  <c r="U21" i="29"/>
  <c r="V20" i="29"/>
  <c r="V19" i="29"/>
  <c r="V18" i="29"/>
  <c r="V17" i="29"/>
  <c r="U16" i="29"/>
  <c r="V15" i="29"/>
  <c r="V13" i="29"/>
  <c r="U12" i="29"/>
  <c r="V10" i="29"/>
  <c r="U7" i="29"/>
  <c r="V6" i="29"/>
  <c r="V5" i="29"/>
  <c r="U3" i="29"/>
  <c r="R49" i="29"/>
  <c r="R46" i="29"/>
  <c r="R44" i="29"/>
  <c r="R39" i="29"/>
  <c r="R36" i="29"/>
  <c r="R21" i="29"/>
  <c r="R16" i="29"/>
  <c r="R12" i="29"/>
  <c r="R7" i="29"/>
  <c r="R3" i="29"/>
  <c r="S50" i="29"/>
  <c r="S47" i="29"/>
  <c r="S38" i="29"/>
  <c r="S37" i="29"/>
  <c r="S31" i="29"/>
  <c r="S30" i="29"/>
  <c r="S27" i="29"/>
  <c r="S26" i="29"/>
  <c r="S24" i="29"/>
  <c r="S22" i="29"/>
  <c r="S20" i="29"/>
  <c r="S19" i="29"/>
  <c r="S18" i="29"/>
  <c r="S17" i="29"/>
  <c r="S15" i="29"/>
  <c r="S13" i="29"/>
  <c r="S10" i="29"/>
  <c r="S6" i="29"/>
  <c r="S5" i="29"/>
  <c r="O49" i="29"/>
  <c r="O46" i="29"/>
  <c r="O44" i="29"/>
  <c r="O39" i="29"/>
  <c r="O36" i="29"/>
  <c r="O21" i="29"/>
  <c r="O16" i="29"/>
  <c r="O12" i="29"/>
  <c r="O7" i="29"/>
  <c r="O3" i="29"/>
  <c r="P47" i="29"/>
  <c r="P38" i="29"/>
  <c r="P37" i="29"/>
  <c r="P31" i="29"/>
  <c r="P30" i="29"/>
  <c r="P27" i="29"/>
  <c r="P26" i="29"/>
  <c r="P24" i="29"/>
  <c r="P22" i="29"/>
  <c r="P20" i="29"/>
  <c r="P19" i="29"/>
  <c r="P18" i="29"/>
  <c r="P17" i="29"/>
  <c r="P15" i="29"/>
  <c r="P13" i="29"/>
  <c r="P10" i="29"/>
  <c r="P6" i="29"/>
  <c r="P5" i="29"/>
  <c r="M50" i="29"/>
  <c r="M47" i="29"/>
  <c r="M38" i="29"/>
  <c r="M37" i="29"/>
  <c r="M31" i="29"/>
  <c r="M30" i="29"/>
  <c r="M27" i="29"/>
  <c r="M26" i="29"/>
  <c r="M24" i="29"/>
  <c r="M22" i="29"/>
  <c r="M20" i="29"/>
  <c r="M19" i="29"/>
  <c r="M18" i="29"/>
  <c r="M17" i="29"/>
  <c r="M15" i="29"/>
  <c r="M13" i="29"/>
  <c r="M10" i="29"/>
  <c r="M6" i="29"/>
  <c r="M5" i="29"/>
  <c r="H36" i="29"/>
  <c r="J47" i="29"/>
  <c r="J38" i="29"/>
  <c r="J37" i="29"/>
  <c r="J31" i="29"/>
  <c r="J30" i="29"/>
  <c r="J27" i="29"/>
  <c r="J26" i="29"/>
  <c r="J24" i="29"/>
  <c r="J22" i="29"/>
  <c r="J20" i="29"/>
  <c r="J19" i="29"/>
  <c r="J18" i="29"/>
  <c r="J17" i="29"/>
  <c r="J15" i="29"/>
  <c r="J13" i="29"/>
  <c r="J10" i="29"/>
  <c r="J5" i="29"/>
  <c r="G47" i="29"/>
  <c r="G38" i="29"/>
  <c r="G37" i="29"/>
  <c r="G24" i="29"/>
  <c r="G26" i="29"/>
  <c r="G27" i="29"/>
  <c r="G30" i="29"/>
  <c r="G31" i="29"/>
  <c r="G22" i="29"/>
  <c r="G18" i="29"/>
  <c r="G19" i="29"/>
  <c r="G20" i="29"/>
  <c r="G17" i="29"/>
  <c r="F35" i="29"/>
  <c r="E35" i="29"/>
  <c r="C19" i="7" s="1"/>
  <c r="G13" i="29"/>
  <c r="G14" i="29"/>
  <c r="G15" i="29"/>
  <c r="G10" i="29"/>
  <c r="G5" i="29"/>
  <c r="F12" i="29"/>
  <c r="I12" i="29"/>
  <c r="L12" i="29"/>
  <c r="AA12" i="29"/>
  <c r="AG12" i="29"/>
  <c r="E12" i="29"/>
  <c r="AG49" i="29"/>
  <c r="AF49" i="29"/>
  <c r="AL260" i="7" s="1"/>
  <c r="AH48" i="29"/>
  <c r="AG46" i="29"/>
  <c r="AF46" i="29"/>
  <c r="AL259" i="7" s="1"/>
  <c r="AG44" i="29"/>
  <c r="AF44" i="29"/>
  <c r="AL261" i="7" s="1"/>
  <c r="AG39" i="29"/>
  <c r="AF39" i="29"/>
  <c r="AG36" i="29"/>
  <c r="AH36" i="29" s="1"/>
  <c r="AG21" i="29"/>
  <c r="AG16" i="29"/>
  <c r="AF16" i="29"/>
  <c r="AF12" i="29"/>
  <c r="AG7" i="29"/>
  <c r="AG3" i="29"/>
  <c r="AA49" i="29"/>
  <c r="AB48" i="29"/>
  <c r="AA46" i="29"/>
  <c r="Z46" i="29"/>
  <c r="AD259" i="7" s="1"/>
  <c r="AB45" i="29"/>
  <c r="AA44" i="29"/>
  <c r="Z44" i="29"/>
  <c r="AD261" i="7" s="1"/>
  <c r="AB40" i="29"/>
  <c r="AA39" i="29"/>
  <c r="Z39" i="29"/>
  <c r="AA36" i="29"/>
  <c r="AB36" i="29" s="1"/>
  <c r="AB28" i="29"/>
  <c r="AB25" i="29"/>
  <c r="AB23" i="29"/>
  <c r="AA21" i="29"/>
  <c r="AA16" i="29"/>
  <c r="Z16" i="29"/>
  <c r="Z12" i="29"/>
  <c r="AB9" i="29"/>
  <c r="AB8" i="29"/>
  <c r="AA7" i="29"/>
  <c r="AA3" i="29"/>
  <c r="W49" i="29"/>
  <c r="W16" i="29"/>
  <c r="W12" i="29"/>
  <c r="Y12" i="29" s="1"/>
  <c r="V48" i="29"/>
  <c r="V45" i="29"/>
  <c r="V40" i="29"/>
  <c r="V28" i="29"/>
  <c r="V25" i="29"/>
  <c r="V23" i="29"/>
  <c r="T16" i="29"/>
  <c r="T12" i="29"/>
  <c r="V9" i="29"/>
  <c r="V8" i="29"/>
  <c r="Q49" i="29"/>
  <c r="S49" i="29" s="1"/>
  <c r="S48" i="29"/>
  <c r="S45" i="29"/>
  <c r="S28" i="29"/>
  <c r="S25" i="29"/>
  <c r="S23" i="29"/>
  <c r="Q16" i="29"/>
  <c r="S16" i="29" s="1"/>
  <c r="P40" i="29"/>
  <c r="P28" i="29"/>
  <c r="P23" i="29"/>
  <c r="N16" i="29"/>
  <c r="P9" i="29"/>
  <c r="P8" i="29"/>
  <c r="L49" i="29"/>
  <c r="K49" i="29"/>
  <c r="J260" i="7" s="1"/>
  <c r="M48" i="29"/>
  <c r="L46" i="29"/>
  <c r="M45" i="29"/>
  <c r="L44" i="29"/>
  <c r="K44" i="29"/>
  <c r="L39" i="29"/>
  <c r="L36" i="29"/>
  <c r="L35" i="29"/>
  <c r="M29" i="29"/>
  <c r="M23" i="29"/>
  <c r="L21" i="29"/>
  <c r="L16" i="29"/>
  <c r="K16" i="29"/>
  <c r="M8" i="29"/>
  <c r="L7" i="29"/>
  <c r="L3" i="29"/>
  <c r="I49" i="29"/>
  <c r="J48" i="29"/>
  <c r="I46" i="29"/>
  <c r="H46" i="29"/>
  <c r="J45" i="29"/>
  <c r="I44" i="29"/>
  <c r="H44" i="29"/>
  <c r="I39" i="29"/>
  <c r="I36" i="29"/>
  <c r="I35" i="29"/>
  <c r="J29" i="29"/>
  <c r="I21" i="29"/>
  <c r="I16" i="29"/>
  <c r="H16" i="29"/>
  <c r="J9" i="29"/>
  <c r="I7" i="29"/>
  <c r="J4" i="29"/>
  <c r="I3" i="29"/>
  <c r="F49" i="29"/>
  <c r="F46" i="29"/>
  <c r="F44" i="29"/>
  <c r="F39" i="29"/>
  <c r="F36" i="29"/>
  <c r="F21" i="29"/>
  <c r="E16" i="29"/>
  <c r="F16" i="29"/>
  <c r="F7" i="29"/>
  <c r="E3" i="29"/>
  <c r="F3" i="29"/>
  <c r="J262" i="7" l="1"/>
  <c r="L262" i="7" s="1"/>
  <c r="L260" i="7"/>
  <c r="AL262" i="7"/>
  <c r="AD262" i="7"/>
  <c r="AH35" i="29"/>
  <c r="S35" i="29"/>
  <c r="M36" i="29"/>
  <c r="P16" i="29"/>
  <c r="AP12" i="29"/>
  <c r="AC49" i="29"/>
  <c r="AE49" i="29" s="1"/>
  <c r="AK35" i="29"/>
  <c r="V50" i="29"/>
  <c r="AI44" i="29"/>
  <c r="AP261" i="7" s="1"/>
  <c r="AP262" i="7" s="1"/>
  <c r="AI49" i="29"/>
  <c r="N49" i="29"/>
  <c r="P49" i="29" s="1"/>
  <c r="P35" i="29"/>
  <c r="J36" i="29"/>
  <c r="AH45" i="29"/>
  <c r="AO45" i="29"/>
  <c r="Y19" i="7"/>
  <c r="AT252" i="7" s="1"/>
  <c r="AO35" i="29"/>
  <c r="Y35" i="29"/>
  <c r="AH16" i="29"/>
  <c r="U53" i="29"/>
  <c r="AD42" i="29"/>
  <c r="AD55" i="29" s="1"/>
  <c r="AE16" i="29"/>
  <c r="AE36" i="29"/>
  <c r="P36" i="29"/>
  <c r="X252" i="7"/>
  <c r="G23" i="28" s="1"/>
  <c r="V254" i="7"/>
  <c r="G27" i="28" s="1"/>
  <c r="N10" i="32"/>
  <c r="L9" i="32"/>
  <c r="L252" i="7"/>
  <c r="J254" i="7"/>
  <c r="D27" i="38" s="1"/>
  <c r="G252" i="7"/>
  <c r="E19" i="7"/>
  <c r="F252" i="7" s="1"/>
  <c r="H252" i="7" s="1"/>
  <c r="B252" i="7"/>
  <c r="AH49" i="29"/>
  <c r="AK46" i="29"/>
  <c r="AK36" i="29"/>
  <c r="AJ42" i="29"/>
  <c r="AJ55" i="29" s="1"/>
  <c r="AK16" i="29"/>
  <c r="AH39" i="29"/>
  <c r="S36" i="29"/>
  <c r="AP3" i="29"/>
  <c r="AP7" i="29"/>
  <c r="AP46" i="29"/>
  <c r="AP53" i="29" s="1"/>
  <c r="AP36" i="29"/>
  <c r="AQ36" i="29" s="1"/>
  <c r="AP21" i="29"/>
  <c r="AP16" i="29"/>
  <c r="AQ16" i="29" s="1"/>
  <c r="AQ9" i="29"/>
  <c r="AQ29" i="29"/>
  <c r="K39" i="29"/>
  <c r="M39" i="29" s="1"/>
  <c r="W39" i="29"/>
  <c r="Y39" i="29" s="1"/>
  <c r="AC7" i="29"/>
  <c r="AE7" i="29" s="1"/>
  <c r="AN21" i="29"/>
  <c r="AH23" i="29"/>
  <c r="AQ23" i="29"/>
  <c r="Q12" i="29"/>
  <c r="G29" i="29"/>
  <c r="G9" i="29"/>
  <c r="G25" i="29"/>
  <c r="E39" i="29"/>
  <c r="G39" i="29" s="1"/>
  <c r="G8" i="29"/>
  <c r="G23" i="29"/>
  <c r="G28" i="29"/>
  <c r="E44" i="29"/>
  <c r="G44" i="29" s="1"/>
  <c r="E46" i="29"/>
  <c r="G46" i="29" s="1"/>
  <c r="H12" i="29"/>
  <c r="J12" i="29" s="1"/>
  <c r="Y36" i="29"/>
  <c r="Y45" i="29"/>
  <c r="Y48" i="29"/>
  <c r="Y6" i="29"/>
  <c r="Y25" i="29"/>
  <c r="N12" i="29"/>
  <c r="P12" i="29" s="1"/>
  <c r="F53" i="29"/>
  <c r="H3" i="29"/>
  <c r="J3" i="29" s="1"/>
  <c r="AI39" i="29"/>
  <c r="AK39" i="29" s="1"/>
  <c r="X53" i="29"/>
  <c r="AI12" i="29"/>
  <c r="AK12" i="29" s="1"/>
  <c r="V36" i="29"/>
  <c r="AH46" i="29"/>
  <c r="G6" i="29"/>
  <c r="AQ6" i="29"/>
  <c r="AH14" i="29"/>
  <c r="AH44" i="29"/>
  <c r="AL12" i="29"/>
  <c r="AN12" i="29" s="1"/>
  <c r="AQ25" i="29"/>
  <c r="AQ28" i="29"/>
  <c r="K12" i="29"/>
  <c r="P29" i="29"/>
  <c r="C252" i="7"/>
  <c r="P45" i="29"/>
  <c r="P48" i="29"/>
  <c r="AQ38" i="29"/>
  <c r="H39" i="29"/>
  <c r="J39" i="29" s="1"/>
  <c r="AP35" i="29"/>
  <c r="AN16" i="29"/>
  <c r="G35" i="29"/>
  <c r="AM53" i="29"/>
  <c r="AN46" i="29"/>
  <c r="AN35" i="29"/>
  <c r="AM42" i="29"/>
  <c r="AN7" i="29"/>
  <c r="AL39" i="29"/>
  <c r="AN39" i="29" s="1"/>
  <c r="AL44" i="29"/>
  <c r="AT261" i="7" s="1"/>
  <c r="AK44" i="29"/>
  <c r="AI7" i="29"/>
  <c r="AK7" i="29" s="1"/>
  <c r="AK21" i="29"/>
  <c r="AH12" i="29"/>
  <c r="K46" i="29"/>
  <c r="M46" i="29" s="1"/>
  <c r="AB12" i="29"/>
  <c r="AB49" i="29"/>
  <c r="AC21" i="29"/>
  <c r="AE21" i="29" s="1"/>
  <c r="AB16" i="29"/>
  <c r="AB35" i="29"/>
  <c r="AB39" i="29"/>
  <c r="R42" i="29"/>
  <c r="AB14" i="29"/>
  <c r="AC12" i="29"/>
  <c r="AE12" i="29" s="1"/>
  <c r="AC46" i="29"/>
  <c r="AC39" i="29"/>
  <c r="AE39" i="29" s="1"/>
  <c r="AC44" i="29"/>
  <c r="AH261" i="7" s="1"/>
  <c r="AB46" i="29"/>
  <c r="AB44" i="29"/>
  <c r="U42" i="29"/>
  <c r="U55" i="29" s="1"/>
  <c r="Q39" i="29"/>
  <c r="Q44" i="29"/>
  <c r="S44" i="29" s="1"/>
  <c r="Q46" i="29"/>
  <c r="S46" i="29" s="1"/>
  <c r="T39" i="29"/>
  <c r="V39" i="29" s="1"/>
  <c r="T44" i="29"/>
  <c r="T46" i="29"/>
  <c r="W44" i="29"/>
  <c r="W46" i="29"/>
  <c r="V14" i="29"/>
  <c r="V35" i="29"/>
  <c r="X42" i="29"/>
  <c r="Y16" i="29"/>
  <c r="Y49" i="29"/>
  <c r="V12" i="29"/>
  <c r="V16" i="29"/>
  <c r="V49" i="29"/>
  <c r="N39" i="29"/>
  <c r="P39" i="29" s="1"/>
  <c r="N44" i="29"/>
  <c r="P44" i="29" s="1"/>
  <c r="N46" i="29"/>
  <c r="P46" i="29" s="1"/>
  <c r="O42" i="29"/>
  <c r="M35" i="29"/>
  <c r="R53" i="29"/>
  <c r="S14" i="29"/>
  <c r="O53" i="29"/>
  <c r="P14" i="29"/>
  <c r="M16" i="29"/>
  <c r="J16" i="29"/>
  <c r="M44" i="29"/>
  <c r="M49" i="29"/>
  <c r="G16" i="29"/>
  <c r="J35" i="29"/>
  <c r="J44" i="29"/>
  <c r="M14" i="29"/>
  <c r="J46" i="29"/>
  <c r="J14" i="29"/>
  <c r="F42" i="29"/>
  <c r="G36" i="29"/>
  <c r="I42" i="29"/>
  <c r="G45" i="29"/>
  <c r="G48" i="29"/>
  <c r="G3" i="29"/>
  <c r="AA42" i="29"/>
  <c r="G12" i="29"/>
  <c r="G4" i="29"/>
  <c r="G40" i="29"/>
  <c r="T21" i="29"/>
  <c r="V21" i="29" s="1"/>
  <c r="E7" i="29"/>
  <c r="AA53" i="29"/>
  <c r="H7" i="29"/>
  <c r="J7" i="29" s="1"/>
  <c r="N7" i="29"/>
  <c r="Q7" i="29"/>
  <c r="S7" i="29" s="1"/>
  <c r="Q21" i="29"/>
  <c r="S21" i="29" s="1"/>
  <c r="W21" i="29"/>
  <c r="Y21" i="29" s="1"/>
  <c r="Z7" i="29"/>
  <c r="AB7" i="29" s="1"/>
  <c r="Z21" i="29"/>
  <c r="AB21" i="29" s="1"/>
  <c r="E21" i="29"/>
  <c r="G21" i="29" s="1"/>
  <c r="I53" i="29"/>
  <c r="L42" i="29"/>
  <c r="K7" i="29"/>
  <c r="M7" i="29" s="1"/>
  <c r="K21" i="29"/>
  <c r="L53" i="29"/>
  <c r="W7" i="29"/>
  <c r="Y7" i="29" s="1"/>
  <c r="AG42" i="29"/>
  <c r="AF7" i="29"/>
  <c r="AH7" i="29" s="1"/>
  <c r="AH21" i="29"/>
  <c r="AG53" i="29"/>
  <c r="H21" i="29"/>
  <c r="J21" i="29" s="1"/>
  <c r="N21" i="29"/>
  <c r="Z53" i="29"/>
  <c r="AF53" i="29"/>
  <c r="M12" i="29" l="1"/>
  <c r="K42" i="29"/>
  <c r="AN49" i="29"/>
  <c r="AT260" i="7"/>
  <c r="AT262" i="7" s="1"/>
  <c r="AE46" i="29"/>
  <c r="AH259" i="7"/>
  <c r="AH262" i="7" s="1"/>
  <c r="Y46" i="29"/>
  <c r="Z259" i="7"/>
  <c r="V46" i="29"/>
  <c r="V259" i="7"/>
  <c r="Y44" i="29"/>
  <c r="Z261" i="7"/>
  <c r="Z262" i="7" s="1"/>
  <c r="V44" i="29"/>
  <c r="V261" i="7"/>
  <c r="P7" i="29"/>
  <c r="G7" i="29"/>
  <c r="E42" i="29"/>
  <c r="G42" i="29" s="1"/>
  <c r="S12" i="29"/>
  <c r="AI53" i="29"/>
  <c r="AK53" i="29" s="1"/>
  <c r="K53" i="29"/>
  <c r="M53" i="29" s="1"/>
  <c r="AK49" i="29"/>
  <c r="S39" i="29"/>
  <c r="M21" i="29"/>
  <c r="AM55" i="29"/>
  <c r="AA19" i="7"/>
  <c r="AC19" i="7" s="1"/>
  <c r="R55" i="29"/>
  <c r="O55" i="29"/>
  <c r="AP42" i="29"/>
  <c r="AP55" i="29" s="1"/>
  <c r="F55" i="29"/>
  <c r="T53" i="29"/>
  <c r="V53" i="29" s="1"/>
  <c r="X55" i="29"/>
  <c r="AO39" i="29"/>
  <c r="AQ40" i="29"/>
  <c r="AQ14" i="29"/>
  <c r="AO12" i="29"/>
  <c r="AQ12" i="29" s="1"/>
  <c r="AQ35" i="29"/>
  <c r="AO44" i="29"/>
  <c r="AQ44" i="29" s="1"/>
  <c r="AQ45" i="29"/>
  <c r="AO46" i="29"/>
  <c r="AQ48" i="29"/>
  <c r="AQ8" i="29"/>
  <c r="AQ7" i="29"/>
  <c r="AQ21" i="29"/>
  <c r="AH53" i="29"/>
  <c r="AL53" i="29"/>
  <c r="AN53" i="29" s="1"/>
  <c r="AN44" i="29"/>
  <c r="AB53" i="29"/>
  <c r="AC53" i="29"/>
  <c r="AE53" i="29" s="1"/>
  <c r="AE44" i="29"/>
  <c r="Q53" i="29"/>
  <c r="S53" i="29" s="1"/>
  <c r="W53" i="29"/>
  <c r="Y53" i="29" s="1"/>
  <c r="N53" i="29"/>
  <c r="P53" i="29" s="1"/>
  <c r="AA55" i="29"/>
  <c r="V7" i="29"/>
  <c r="P21" i="29"/>
  <c r="H42" i="29"/>
  <c r="I55" i="29"/>
  <c r="AG55" i="29"/>
  <c r="L55" i="29"/>
  <c r="M17" i="10"/>
  <c r="O30" i="3"/>
  <c r="AB62" i="7"/>
  <c r="P30" i="3"/>
  <c r="Q30" i="3"/>
  <c r="R30" i="3"/>
  <c r="S30" i="3"/>
  <c r="J30" i="3"/>
  <c r="K30" i="3"/>
  <c r="L30" i="3"/>
  <c r="M30" i="3"/>
  <c r="N30" i="3"/>
  <c r="I30" i="3"/>
  <c r="F48" i="5"/>
  <c r="G48" i="5"/>
  <c r="H48" i="5"/>
  <c r="I48" i="5"/>
  <c r="J48" i="5"/>
  <c r="K48" i="5"/>
  <c r="L48" i="5"/>
  <c r="M48" i="5"/>
  <c r="N48" i="5"/>
  <c r="D48" i="5"/>
  <c r="E48" i="5"/>
  <c r="AX259" i="7" l="1"/>
  <c r="X259" i="7"/>
  <c r="V262" i="7"/>
  <c r="X262" i="7" s="1"/>
  <c r="AX261" i="7"/>
  <c r="X261" i="7"/>
  <c r="AQ39" i="29"/>
  <c r="G243" i="7"/>
  <c r="C243" i="7"/>
  <c r="AQ46" i="29"/>
  <c r="J42" i="29"/>
  <c r="I241" i="7" l="1"/>
  <c r="I243" i="7"/>
  <c r="I239" i="7"/>
  <c r="I240" i="7"/>
  <c r="I242" i="7"/>
  <c r="C18" i="38" s="1"/>
  <c r="G244" i="7"/>
  <c r="E243" i="7"/>
  <c r="C244" i="7"/>
  <c r="E240" i="7"/>
  <c r="E241" i="7"/>
  <c r="E239" i="7"/>
  <c r="E242" i="7"/>
  <c r="B18" i="38" s="1"/>
  <c r="AB60" i="7"/>
  <c r="D94" i="4"/>
  <c r="Q33" i="3"/>
  <c r="L93" i="4"/>
  <c r="L94" i="4"/>
  <c r="C77" i="1"/>
  <c r="S44" i="3"/>
  <c r="P28" i="3"/>
  <c r="C99" i="6"/>
  <c r="C89" i="6"/>
  <c r="C78" i="6"/>
  <c r="N68" i="5"/>
  <c r="M68" i="5"/>
  <c r="L68" i="5"/>
  <c r="K68" i="5"/>
  <c r="J68" i="5"/>
  <c r="I68" i="5"/>
  <c r="H68" i="5"/>
  <c r="G68" i="5"/>
  <c r="F68" i="5"/>
  <c r="E68" i="5"/>
  <c r="D68" i="5"/>
  <c r="C68" i="5"/>
  <c r="S29" i="3"/>
  <c r="R29" i="3"/>
  <c r="Q29" i="3"/>
  <c r="P29" i="3"/>
  <c r="O29" i="3"/>
  <c r="N29" i="3"/>
  <c r="M29" i="3"/>
  <c r="L29" i="3"/>
  <c r="K29" i="3"/>
  <c r="J29" i="3"/>
  <c r="I29" i="3"/>
  <c r="H29" i="3"/>
  <c r="N58" i="5"/>
  <c r="M58" i="5"/>
  <c r="L58" i="5"/>
  <c r="K58" i="5"/>
  <c r="J58" i="5"/>
  <c r="I58" i="5"/>
  <c r="H58" i="5"/>
  <c r="F58" i="5"/>
  <c r="E58" i="5"/>
  <c r="D58" i="5"/>
  <c r="O28" i="3"/>
  <c r="M28" i="3"/>
  <c r="K28" i="3"/>
  <c r="I28" i="3"/>
  <c r="S27" i="3"/>
  <c r="R27" i="3"/>
  <c r="Q27" i="3"/>
  <c r="P27" i="3"/>
  <c r="O27" i="3"/>
  <c r="N27" i="3"/>
  <c r="M27" i="3"/>
  <c r="L27" i="3"/>
  <c r="K27" i="3"/>
  <c r="J27" i="3"/>
  <c r="I27" i="3"/>
  <c r="H27" i="3"/>
  <c r="S14" i="3"/>
  <c r="S13" i="3"/>
  <c r="R13" i="3"/>
  <c r="Q13" i="3"/>
  <c r="P13" i="3"/>
  <c r="O13" i="3"/>
  <c r="N13" i="3"/>
  <c r="M13" i="3"/>
  <c r="L13" i="3"/>
  <c r="K13" i="3"/>
  <c r="J13" i="3"/>
  <c r="I13" i="3"/>
  <c r="H13" i="3"/>
  <c r="S35" i="3"/>
  <c r="S34" i="3"/>
  <c r="I259" i="7" l="1"/>
  <c r="I249" i="7"/>
  <c r="C22" i="38" s="1"/>
  <c r="I251" i="7"/>
  <c r="C25" i="38" s="1"/>
  <c r="I260" i="7"/>
  <c r="I248" i="7"/>
  <c r="C21" i="38" s="1"/>
  <c r="I250" i="7"/>
  <c r="C24" i="38" s="1"/>
  <c r="I247" i="7"/>
  <c r="C20" i="38" s="1"/>
  <c r="I244" i="7"/>
  <c r="C19" i="38" s="1"/>
  <c r="H254" i="7"/>
  <c r="I252" i="7"/>
  <c r="C23" i="38" s="1"/>
  <c r="E260" i="7"/>
  <c r="E244" i="7"/>
  <c r="B19" i="38" s="1"/>
  <c r="E250" i="7"/>
  <c r="B24" i="38" s="1"/>
  <c r="E249" i="7"/>
  <c r="B22" i="38" s="1"/>
  <c r="E248" i="7"/>
  <c r="B21" i="38" s="1"/>
  <c r="E251" i="7"/>
  <c r="B25" i="38" s="1"/>
  <c r="E247" i="7"/>
  <c r="B20" i="38" s="1"/>
  <c r="D254" i="7"/>
  <c r="E252" i="7"/>
  <c r="B23" i="38" s="1"/>
  <c r="H48" i="6"/>
  <c r="M37" i="36" s="1"/>
  <c r="N48" i="6"/>
  <c r="S37" i="36" s="1"/>
  <c r="C93" i="4"/>
  <c r="H32" i="3"/>
  <c r="E93" i="4"/>
  <c r="J32" i="3"/>
  <c r="G93" i="4"/>
  <c r="L32" i="3"/>
  <c r="I93" i="4"/>
  <c r="N32" i="3"/>
  <c r="K93" i="4"/>
  <c r="P32" i="3"/>
  <c r="M93" i="4"/>
  <c r="R32" i="3"/>
  <c r="C94" i="4"/>
  <c r="H33" i="3"/>
  <c r="C91" i="4"/>
  <c r="M94" i="4"/>
  <c r="R33" i="3"/>
  <c r="M91" i="4"/>
  <c r="I94" i="4"/>
  <c r="N33" i="3"/>
  <c r="I91" i="4"/>
  <c r="G94" i="4"/>
  <c r="L33" i="3"/>
  <c r="G91" i="4"/>
  <c r="E94" i="4"/>
  <c r="J33" i="3"/>
  <c r="E91" i="4"/>
  <c r="D93" i="4"/>
  <c r="I32" i="3"/>
  <c r="F93" i="4"/>
  <c r="K32" i="3"/>
  <c r="H93" i="4"/>
  <c r="M32" i="3"/>
  <c r="J93" i="4"/>
  <c r="O32" i="3"/>
  <c r="N93" i="4"/>
  <c r="S32" i="3"/>
  <c r="N94" i="4"/>
  <c r="S33" i="3"/>
  <c r="N91" i="4"/>
  <c r="J94" i="4"/>
  <c r="O33" i="3"/>
  <c r="J91" i="4"/>
  <c r="H94" i="4"/>
  <c r="M33" i="3"/>
  <c r="H91" i="4"/>
  <c r="F94" i="4"/>
  <c r="K33" i="3"/>
  <c r="F91" i="4"/>
  <c r="I33" i="3"/>
  <c r="D91" i="4"/>
  <c r="Q32" i="3"/>
  <c r="L91" i="4"/>
  <c r="K94" i="4"/>
  <c r="P33" i="3"/>
  <c r="K91" i="4"/>
  <c r="G58" i="5"/>
  <c r="C58" i="5"/>
  <c r="K81" i="5"/>
  <c r="P31" i="36" s="1"/>
  <c r="C87" i="1"/>
  <c r="S41" i="3"/>
  <c r="C48" i="5"/>
  <c r="H14" i="3"/>
  <c r="J14" i="3"/>
  <c r="L14" i="3"/>
  <c r="N14" i="3"/>
  <c r="P14" i="3"/>
  <c r="R14" i="3"/>
  <c r="H28" i="3"/>
  <c r="J28" i="3"/>
  <c r="L28" i="3"/>
  <c r="N28" i="3"/>
  <c r="R28" i="3"/>
  <c r="H30" i="3"/>
  <c r="S38" i="3"/>
  <c r="J41" i="36"/>
  <c r="I14" i="3"/>
  <c r="K14" i="3"/>
  <c r="M14" i="3"/>
  <c r="O14" i="3"/>
  <c r="Q14" i="3"/>
  <c r="S24" i="3"/>
  <c r="Q28" i="3"/>
  <c r="S28" i="3"/>
  <c r="N81" i="5"/>
  <c r="H81" i="5"/>
  <c r="E81" i="5"/>
  <c r="D223" i="7"/>
  <c r="D221" i="7"/>
  <c r="D220" i="7"/>
  <c r="D219" i="7"/>
  <c r="H223" i="7"/>
  <c r="H221" i="7"/>
  <c r="H220" i="7"/>
  <c r="H219" i="7"/>
  <c r="L223" i="7"/>
  <c r="L221" i="7"/>
  <c r="L220" i="7"/>
  <c r="P223" i="7"/>
  <c r="P221" i="7"/>
  <c r="P220" i="7"/>
  <c r="L219" i="7"/>
  <c r="P219" i="7"/>
  <c r="AD221" i="7"/>
  <c r="AD233" i="7"/>
  <c r="AD232" i="7"/>
  <c r="N222" i="7"/>
  <c r="N224" i="7" s="1"/>
  <c r="J222" i="7"/>
  <c r="J224" i="7" s="1"/>
  <c r="L233" i="7" s="1"/>
  <c r="D11" i="28" s="1"/>
  <c r="F222" i="7"/>
  <c r="F224" i="7" s="1"/>
  <c r="H224" i="7" s="1"/>
  <c r="C7" i="28" s="1"/>
  <c r="B222" i="7"/>
  <c r="B224" i="7" s="1"/>
  <c r="B235" i="7" s="1"/>
  <c r="B15" i="28" s="1"/>
  <c r="J31" i="3" l="1"/>
  <c r="J31" i="36"/>
  <c r="S31" i="3"/>
  <c r="S31" i="36"/>
  <c r="P41" i="3"/>
  <c r="P41" i="36"/>
  <c r="M41" i="3"/>
  <c r="M41" i="36"/>
  <c r="M11" i="36"/>
  <c r="J11" i="36"/>
  <c r="M31" i="3"/>
  <c r="M31" i="36"/>
  <c r="N110" i="6"/>
  <c r="S41" i="36"/>
  <c r="S11" i="3"/>
  <c r="S11" i="36"/>
  <c r="P11" i="36"/>
  <c r="AB233" i="7"/>
  <c r="Z235" i="7"/>
  <c r="K83" i="5"/>
  <c r="P31" i="3"/>
  <c r="P11" i="3"/>
  <c r="J11" i="3"/>
  <c r="M11" i="3"/>
  <c r="K110" i="6"/>
  <c r="E83" i="5"/>
  <c r="N83" i="5"/>
  <c r="H83" i="5"/>
  <c r="E110" i="6"/>
  <c r="J41" i="3"/>
  <c r="N242" i="7"/>
  <c r="AD242" i="7"/>
  <c r="AL242" i="7"/>
  <c r="AT242" i="7"/>
  <c r="H229" i="7"/>
  <c r="C9" i="28" s="1"/>
  <c r="H233" i="7"/>
  <c r="C11" i="28" s="1"/>
  <c r="H231" i="7"/>
  <c r="C12" i="28" s="1"/>
  <c r="R242" i="7"/>
  <c r="Z242" i="7"/>
  <c r="AH242" i="7"/>
  <c r="AP242" i="7"/>
  <c r="P224" i="7"/>
  <c r="E7" i="28" s="1"/>
  <c r="P233" i="7"/>
  <c r="E11" i="28" s="1"/>
  <c r="P231" i="7"/>
  <c r="E12" i="28" s="1"/>
  <c r="P229" i="7"/>
  <c r="E9" i="28" s="1"/>
  <c r="P232" i="7"/>
  <c r="E13" i="28" s="1"/>
  <c r="P230" i="7"/>
  <c r="E10" i="28" s="1"/>
  <c r="P228" i="7"/>
  <c r="E8" i="28" s="1"/>
  <c r="D229" i="7"/>
  <c r="B9" i="28" s="1"/>
  <c r="D233" i="7"/>
  <c r="B11" i="28" s="1"/>
  <c r="D228" i="7"/>
  <c r="B8" i="28" s="1"/>
  <c r="D230" i="7"/>
  <c r="B10" i="28" s="1"/>
  <c r="D232" i="7"/>
  <c r="B13" i="28" s="1"/>
  <c r="H228" i="7"/>
  <c r="C8" i="28" s="1"/>
  <c r="H230" i="7"/>
  <c r="C10" i="28" s="1"/>
  <c r="H232" i="7"/>
  <c r="C13" i="28" s="1"/>
  <c r="L228" i="7"/>
  <c r="D8" i="28" s="1"/>
  <c r="L230" i="7"/>
  <c r="D10" i="28" s="1"/>
  <c r="L232" i="7"/>
  <c r="D13" i="28" s="1"/>
  <c r="B242" i="7"/>
  <c r="P222" i="7"/>
  <c r="E6" i="28" s="1"/>
  <c r="L222" i="7"/>
  <c r="D6" i="28" s="1"/>
  <c r="L224" i="7"/>
  <c r="D7" i="28" s="1"/>
  <c r="H222" i="7"/>
  <c r="C6" i="28" s="1"/>
  <c r="D222" i="7"/>
  <c r="B6" i="28" s="1"/>
  <c r="D224" i="7"/>
  <c r="B7" i="28" s="1"/>
  <c r="D231" i="7"/>
  <c r="B12" i="28" s="1"/>
  <c r="L229" i="7"/>
  <c r="D9" i="28" s="1"/>
  <c r="L231" i="7"/>
  <c r="D12" i="28" s="1"/>
  <c r="F235" i="7"/>
  <c r="C15" i="28" s="1"/>
  <c r="J235" i="7"/>
  <c r="D15" i="28" s="1"/>
  <c r="N235" i="7"/>
  <c r="E15" i="28" s="1"/>
  <c r="C11" i="14" l="1"/>
  <c r="D11" i="14" s="1"/>
  <c r="E11" i="14" s="1"/>
  <c r="F11" i="14" s="1"/>
  <c r="G11" i="14" s="1"/>
  <c r="H11" i="14" s="1"/>
  <c r="I11" i="14" s="1"/>
  <c r="J11" i="14" s="1"/>
  <c r="K11" i="14" s="1"/>
  <c r="L11" i="14" s="1"/>
  <c r="M15" i="18"/>
  <c r="L15" i="18"/>
  <c r="K15" i="18"/>
  <c r="J15" i="18"/>
  <c r="M11" i="13"/>
  <c r="L11" i="13"/>
  <c r="K11" i="13"/>
  <c r="J11" i="13"/>
  <c r="I11" i="13"/>
  <c r="H11" i="13"/>
  <c r="G11" i="13"/>
  <c r="F11" i="13"/>
  <c r="E11" i="13"/>
  <c r="D11" i="13"/>
  <c r="C11" i="13"/>
  <c r="B11" i="13"/>
  <c r="S40" i="3"/>
  <c r="R40" i="3"/>
  <c r="Q40" i="3"/>
  <c r="P40" i="3"/>
  <c r="O40" i="3"/>
  <c r="N40" i="3"/>
  <c r="M40" i="3"/>
  <c r="L40" i="3"/>
  <c r="K40" i="3"/>
  <c r="J40" i="3"/>
  <c r="I40" i="3"/>
  <c r="H40" i="3"/>
  <c r="R35" i="3"/>
  <c r="Q35" i="3"/>
  <c r="P35" i="3"/>
  <c r="O35" i="3"/>
  <c r="N35" i="3"/>
  <c r="M35" i="3"/>
  <c r="L35" i="3"/>
  <c r="K35" i="3"/>
  <c r="J35" i="3"/>
  <c r="I35" i="3"/>
  <c r="H35" i="3"/>
  <c r="R34" i="3"/>
  <c r="Q34" i="3"/>
  <c r="P34" i="3"/>
  <c r="O34" i="3"/>
  <c r="N34" i="3"/>
  <c r="M34" i="3"/>
  <c r="L34" i="3"/>
  <c r="K34" i="3"/>
  <c r="J34" i="3"/>
  <c r="I34" i="3"/>
  <c r="H34" i="3"/>
  <c r="Q21" i="3"/>
  <c r="S18" i="3"/>
  <c r="R18" i="3"/>
  <c r="Q18" i="3"/>
  <c r="P18" i="3"/>
  <c r="O18" i="3"/>
  <c r="N18" i="3"/>
  <c r="M18" i="3"/>
  <c r="L18" i="3"/>
  <c r="K18" i="3"/>
  <c r="J18" i="3"/>
  <c r="I18" i="3"/>
  <c r="H18" i="3"/>
  <c r="S19" i="3"/>
  <c r="P19" i="3"/>
  <c r="M19" i="3"/>
  <c r="J19" i="3"/>
  <c r="K20" i="3"/>
  <c r="N15" i="18" l="1"/>
  <c r="B34" i="18" s="1"/>
  <c r="M11" i="14"/>
  <c r="N11" i="14" s="1"/>
  <c r="L70" i="4"/>
  <c r="F63" i="4"/>
  <c r="AA39" i="21" l="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Q29" i="19"/>
  <c r="N29" i="19"/>
  <c r="K29" i="19"/>
  <c r="H29" i="19"/>
  <c r="E29" i="19"/>
  <c r="B29" i="19"/>
  <c r="R28" i="19"/>
  <c r="S28" i="19" s="1"/>
  <c r="O28" i="19"/>
  <c r="P28" i="19" s="1"/>
  <c r="L28" i="19"/>
  <c r="M28" i="19" s="1"/>
  <c r="I28" i="19"/>
  <c r="J28" i="19" s="1"/>
  <c r="F28" i="19"/>
  <c r="G28" i="19" s="1"/>
  <c r="C28" i="19"/>
  <c r="D28" i="19" s="1"/>
  <c r="R27" i="19"/>
  <c r="S27" i="19" s="1"/>
  <c r="O27" i="19"/>
  <c r="P27" i="19" s="1"/>
  <c r="L27" i="19"/>
  <c r="M27" i="19" s="1"/>
  <c r="I27" i="19"/>
  <c r="J27" i="19" s="1"/>
  <c r="F27" i="19"/>
  <c r="G27" i="19" s="1"/>
  <c r="C27" i="19"/>
  <c r="D27" i="19" s="1"/>
  <c r="R26" i="19"/>
  <c r="S26" i="19" s="1"/>
  <c r="O26" i="19"/>
  <c r="L26" i="19"/>
  <c r="M26" i="19" s="1"/>
  <c r="I26" i="19"/>
  <c r="F26" i="19"/>
  <c r="G26" i="19" s="1"/>
  <c r="C26" i="19"/>
  <c r="Q25" i="19"/>
  <c r="N25" i="19"/>
  <c r="K25" i="19"/>
  <c r="H25" i="19"/>
  <c r="E25" i="19"/>
  <c r="B25" i="19"/>
  <c r="R24" i="19"/>
  <c r="S24" i="19" s="1"/>
  <c r="O24" i="19"/>
  <c r="P24" i="19" s="1"/>
  <c r="L24" i="19"/>
  <c r="M24" i="19" s="1"/>
  <c r="I24" i="19"/>
  <c r="J24" i="19" s="1"/>
  <c r="F24" i="19"/>
  <c r="G24" i="19" s="1"/>
  <c r="C24" i="19"/>
  <c r="D24" i="19" s="1"/>
  <c r="R23" i="19"/>
  <c r="S23" i="19" s="1"/>
  <c r="O23" i="19"/>
  <c r="P23" i="19" s="1"/>
  <c r="L23" i="19"/>
  <c r="M23" i="19" s="1"/>
  <c r="I23" i="19"/>
  <c r="J23" i="19" s="1"/>
  <c r="F23" i="19"/>
  <c r="G23" i="19" s="1"/>
  <c r="C23" i="19"/>
  <c r="D23" i="19" s="1"/>
  <c r="R22" i="19"/>
  <c r="O22" i="19"/>
  <c r="P22" i="19" s="1"/>
  <c r="L22" i="19"/>
  <c r="M22" i="19" s="1"/>
  <c r="I22" i="19"/>
  <c r="F22" i="19"/>
  <c r="G22" i="19" s="1"/>
  <c r="C22" i="19"/>
  <c r="Q16" i="19"/>
  <c r="N16" i="19"/>
  <c r="K16" i="19"/>
  <c r="H16" i="19"/>
  <c r="E16" i="19"/>
  <c r="B16" i="19"/>
  <c r="R15" i="19"/>
  <c r="S15" i="19" s="1"/>
  <c r="O15" i="19"/>
  <c r="P15" i="19" s="1"/>
  <c r="L15" i="19"/>
  <c r="M15" i="19" s="1"/>
  <c r="I15" i="19"/>
  <c r="J15" i="19" s="1"/>
  <c r="F15" i="19"/>
  <c r="G15" i="19" s="1"/>
  <c r="C15" i="19"/>
  <c r="D15" i="19" s="1"/>
  <c r="R14" i="19"/>
  <c r="S14" i="19" s="1"/>
  <c r="O14" i="19"/>
  <c r="P14" i="19" s="1"/>
  <c r="L14" i="19"/>
  <c r="M14" i="19" s="1"/>
  <c r="I14" i="19"/>
  <c r="J14" i="19" s="1"/>
  <c r="F14" i="19"/>
  <c r="G14" i="19" s="1"/>
  <c r="C14" i="19"/>
  <c r="D14" i="19" s="1"/>
  <c r="R13" i="19"/>
  <c r="S13" i="19" s="1"/>
  <c r="O13" i="19"/>
  <c r="L13" i="19"/>
  <c r="M13" i="19" s="1"/>
  <c r="I13" i="19"/>
  <c r="F13" i="19"/>
  <c r="G13" i="19" s="1"/>
  <c r="C13" i="19"/>
  <c r="Q12" i="19"/>
  <c r="N12" i="19"/>
  <c r="K12" i="19"/>
  <c r="H12" i="19"/>
  <c r="E12" i="19"/>
  <c r="B12" i="19"/>
  <c r="R11" i="19"/>
  <c r="S11" i="19" s="1"/>
  <c r="O11" i="19"/>
  <c r="P11" i="19" s="1"/>
  <c r="L11" i="19"/>
  <c r="M11" i="19" s="1"/>
  <c r="I11" i="19"/>
  <c r="J11" i="19" s="1"/>
  <c r="F11" i="19"/>
  <c r="G11" i="19" s="1"/>
  <c r="C11" i="19"/>
  <c r="D11" i="19" s="1"/>
  <c r="R10" i="19"/>
  <c r="S10" i="19" s="1"/>
  <c r="O10" i="19"/>
  <c r="P10" i="19" s="1"/>
  <c r="L10" i="19"/>
  <c r="M10" i="19" s="1"/>
  <c r="I10" i="19"/>
  <c r="J10" i="19" s="1"/>
  <c r="F10" i="19"/>
  <c r="G10" i="19" s="1"/>
  <c r="C10" i="19"/>
  <c r="D10" i="19" s="1"/>
  <c r="R9" i="19"/>
  <c r="O9" i="19"/>
  <c r="P9" i="19" s="1"/>
  <c r="L9" i="19"/>
  <c r="I9" i="19"/>
  <c r="J9" i="19" s="1"/>
  <c r="F9" i="19"/>
  <c r="G9" i="19" s="1"/>
  <c r="C9" i="19"/>
  <c r="L12" i="19" l="1"/>
  <c r="M12" i="19" s="1"/>
  <c r="M9" i="19"/>
  <c r="C16" i="19"/>
  <c r="D16" i="19" s="1"/>
  <c r="D13" i="19"/>
  <c r="I16" i="19"/>
  <c r="J16" i="19" s="1"/>
  <c r="J13" i="19"/>
  <c r="O16" i="19"/>
  <c r="P16" i="19" s="1"/>
  <c r="P13" i="19"/>
  <c r="C25" i="19"/>
  <c r="D25" i="19" s="1"/>
  <c r="D22" i="19"/>
  <c r="I25" i="19"/>
  <c r="J25" i="19" s="1"/>
  <c r="J22" i="19"/>
  <c r="C29" i="19"/>
  <c r="D29" i="19" s="1"/>
  <c r="D26" i="19"/>
  <c r="I29" i="19"/>
  <c r="J29" i="19" s="1"/>
  <c r="J26" i="19"/>
  <c r="O29" i="19"/>
  <c r="P29" i="19" s="1"/>
  <c r="P26" i="19"/>
  <c r="R12" i="19"/>
  <c r="S12" i="19" s="1"/>
  <c r="S9" i="19"/>
  <c r="R25" i="19"/>
  <c r="S25" i="19" s="1"/>
  <c r="S22" i="19"/>
  <c r="O25" i="19"/>
  <c r="P25" i="19" s="1"/>
  <c r="D9" i="19"/>
  <c r="C12" i="19"/>
  <c r="D12" i="19" s="1"/>
  <c r="L25" i="19"/>
  <c r="M25" i="19" s="1"/>
  <c r="I12" i="19"/>
  <c r="J12" i="19" s="1"/>
  <c r="O12" i="19"/>
  <c r="P12" i="19" s="1"/>
  <c r="F16" i="19"/>
  <c r="G16" i="19" s="1"/>
  <c r="L16" i="19"/>
  <c r="M16" i="19" s="1"/>
  <c r="R16" i="19"/>
  <c r="S16" i="19" s="1"/>
  <c r="F25" i="19"/>
  <c r="G25" i="19" s="1"/>
  <c r="F29" i="19"/>
  <c r="G29" i="19" s="1"/>
  <c r="L29" i="19"/>
  <c r="M29" i="19" s="1"/>
  <c r="R29" i="19"/>
  <c r="S29" i="19" s="1"/>
  <c r="F12" i="19"/>
  <c r="G12" i="19" s="1"/>
  <c r="M15" i="13" l="1"/>
  <c r="L15" i="13"/>
  <c r="K15" i="13"/>
  <c r="J15" i="13"/>
  <c r="H15" i="13"/>
  <c r="G15" i="13"/>
  <c r="F15" i="13"/>
  <c r="E15" i="13"/>
  <c r="D15" i="13"/>
  <c r="C15" i="13"/>
  <c r="B15" i="13"/>
  <c r="N12" i="13"/>
  <c r="N8" i="13"/>
  <c r="N14" i="18"/>
  <c r="N14" i="16"/>
  <c r="M13" i="16"/>
  <c r="K13" i="16"/>
  <c r="I13" i="16"/>
  <c r="G13" i="16"/>
  <c r="F13" i="16"/>
  <c r="E13" i="16"/>
  <c r="D13" i="16"/>
  <c r="M18" i="10"/>
  <c r="M16" i="10"/>
  <c r="M15" i="10"/>
  <c r="F15" i="10" s="1"/>
  <c r="M14" i="10"/>
  <c r="F14" i="10" s="1"/>
  <c r="M13" i="10"/>
  <c r="F13" i="10" s="1"/>
  <c r="M12" i="10"/>
  <c r="F12" i="10" s="1"/>
  <c r="M11" i="10"/>
  <c r="F11" i="10" s="1"/>
  <c r="M10" i="10"/>
  <c r="F10" i="10" s="1"/>
  <c r="M9" i="10"/>
  <c r="F9" i="10" s="1"/>
  <c r="M8" i="10"/>
  <c r="F8" i="10" s="1"/>
  <c r="M7" i="10"/>
  <c r="F7" i="10" s="1"/>
  <c r="S43" i="3"/>
  <c r="C13" i="16" l="1"/>
  <c r="N9" i="16"/>
  <c r="N10" i="16"/>
  <c r="N11" i="16"/>
  <c r="F7" i="9"/>
  <c r="H13" i="16"/>
  <c r="L13" i="16"/>
  <c r="M19" i="10"/>
  <c r="F6" i="9"/>
  <c r="F9" i="9"/>
  <c r="F11" i="9"/>
  <c r="F12" i="9"/>
  <c r="F14" i="9"/>
  <c r="F17" i="9"/>
  <c r="Z79" i="11"/>
  <c r="Z80" i="11" s="1"/>
  <c r="N7" i="16"/>
  <c r="J13" i="16"/>
  <c r="F8" i="9"/>
  <c r="F10" i="9"/>
  <c r="F13" i="9"/>
  <c r="F15" i="9"/>
  <c r="F16" i="9"/>
  <c r="N67" i="6"/>
  <c r="M67" i="6"/>
  <c r="L67" i="6"/>
  <c r="K67" i="6"/>
  <c r="J67" i="6"/>
  <c r="I67" i="6"/>
  <c r="H67" i="6"/>
  <c r="G67" i="6"/>
  <c r="F67" i="6"/>
  <c r="E67" i="6"/>
  <c r="D67" i="6"/>
  <c r="C67" i="6"/>
  <c r="S37" i="3"/>
  <c r="M37" i="3"/>
  <c r="N16" i="6"/>
  <c r="M16" i="6"/>
  <c r="L16" i="6"/>
  <c r="K16" i="6"/>
  <c r="J16" i="6"/>
  <c r="I16" i="6"/>
  <c r="H16" i="6"/>
  <c r="G16" i="6"/>
  <c r="F16" i="6"/>
  <c r="E16" i="6"/>
  <c r="D16" i="6"/>
  <c r="C16" i="6"/>
  <c r="N9" i="6"/>
  <c r="M9" i="6"/>
  <c r="L9" i="6"/>
  <c r="K9" i="6"/>
  <c r="J9" i="6"/>
  <c r="I9" i="6"/>
  <c r="H9" i="6"/>
  <c r="G9" i="6"/>
  <c r="F9" i="6"/>
  <c r="E9" i="6"/>
  <c r="D9" i="6"/>
  <c r="C9" i="6"/>
  <c r="F19" i="9" l="1"/>
  <c r="N16" i="16"/>
  <c r="N18" i="16" s="1"/>
  <c r="J39" i="3"/>
  <c r="J39" i="36"/>
  <c r="P39" i="3"/>
  <c r="P39" i="36"/>
  <c r="M39" i="3"/>
  <c r="M39" i="36"/>
  <c r="S39" i="3"/>
  <c r="S39" i="36"/>
  <c r="N50" i="6"/>
  <c r="H50" i="6"/>
  <c r="N13" i="16"/>
  <c r="O8" i="16" s="1"/>
  <c r="O10" i="16" l="1"/>
  <c r="O12" i="16"/>
  <c r="O11" i="16"/>
  <c r="O7" i="16"/>
  <c r="O9" i="16"/>
  <c r="N42" i="1"/>
  <c r="N40" i="1"/>
  <c r="K40" i="1"/>
  <c r="E40" i="1"/>
  <c r="N56" i="4"/>
  <c r="M56" i="4"/>
  <c r="L56" i="4"/>
  <c r="K56" i="4"/>
  <c r="J56" i="4"/>
  <c r="I56" i="4"/>
  <c r="H56" i="4"/>
  <c r="G56" i="4"/>
  <c r="F56" i="4"/>
  <c r="E56" i="4"/>
  <c r="D56" i="4"/>
  <c r="C56" i="4"/>
  <c r="N21" i="4"/>
  <c r="K21" i="4"/>
  <c r="H21" i="4"/>
  <c r="E21" i="4"/>
  <c r="D212" i="7"/>
  <c r="D211" i="7"/>
  <c r="AA25" i="21"/>
  <c r="AA22" i="21"/>
  <c r="AA20" i="21"/>
  <c r="AA16" i="21"/>
  <c r="AA14" i="21"/>
  <c r="AA13" i="21"/>
  <c r="AA11" i="21"/>
  <c r="AA9" i="21"/>
  <c r="AA8" i="21"/>
  <c r="AA7" i="21"/>
  <c r="AA6" i="21"/>
  <c r="F26" i="7"/>
  <c r="D26" i="7"/>
  <c r="AD220" i="7"/>
  <c r="AD230" i="7"/>
  <c r="AD229" i="7"/>
  <c r="AD219" i="7"/>
  <c r="AD231" i="7"/>
  <c r="AD228" i="7"/>
  <c r="M6" i="40" l="1"/>
  <c r="F7" i="39"/>
  <c r="M7" i="40"/>
  <c r="F8" i="39"/>
  <c r="AB212" i="7"/>
  <c r="D8" i="7"/>
  <c r="AB211" i="7"/>
  <c r="D7" i="7"/>
  <c r="D35" i="33"/>
  <c r="D37" i="33" s="1"/>
  <c r="D45" i="33"/>
  <c r="D47" i="33" s="1"/>
  <c r="D49" i="33" s="1"/>
  <c r="C45" i="33"/>
  <c r="C47" i="33" s="1"/>
  <c r="C49" i="33" s="1"/>
  <c r="C35" i="33"/>
  <c r="M10" i="3"/>
  <c r="M10" i="36"/>
  <c r="S10" i="3"/>
  <c r="S10" i="36"/>
  <c r="J10" i="3"/>
  <c r="J10" i="36"/>
  <c r="P10" i="3"/>
  <c r="P10" i="36"/>
  <c r="AB26" i="7"/>
  <c r="F21" i="39" s="1"/>
  <c r="AD222" i="7"/>
  <c r="C63" i="4"/>
  <c r="S20" i="3"/>
  <c r="N63" i="4"/>
  <c r="R20" i="3"/>
  <c r="S21" i="3"/>
  <c r="N70" i="4"/>
  <c r="E63" i="4"/>
  <c r="V222" i="7"/>
  <c r="Q20" i="3"/>
  <c r="L63" i="4"/>
  <c r="R21" i="3"/>
  <c r="M70" i="4"/>
  <c r="P20" i="3"/>
  <c r="K63" i="4"/>
  <c r="P21" i="3"/>
  <c r="K70" i="4"/>
  <c r="N20" i="3"/>
  <c r="I63" i="4"/>
  <c r="O20" i="3"/>
  <c r="J63" i="4"/>
  <c r="N21" i="3"/>
  <c r="I70" i="4"/>
  <c r="O21" i="3"/>
  <c r="J70" i="4"/>
  <c r="F161" i="7"/>
  <c r="D161" i="7"/>
  <c r="M20" i="3"/>
  <c r="H63" i="4"/>
  <c r="M21" i="3"/>
  <c r="H70" i="4"/>
  <c r="K42" i="1"/>
  <c r="H42" i="1" s="1"/>
  <c r="E42" i="1"/>
  <c r="C47" i="4"/>
  <c r="C37" i="4"/>
  <c r="G47" i="4"/>
  <c r="L17" i="36" s="1"/>
  <c r="I47" i="4"/>
  <c r="N17" i="36" s="1"/>
  <c r="I37" i="4"/>
  <c r="M47" i="4"/>
  <c r="D47" i="4"/>
  <c r="D37" i="4"/>
  <c r="F47" i="4"/>
  <c r="H47" i="4"/>
  <c r="M17" i="36" s="1"/>
  <c r="H37" i="4"/>
  <c r="J47" i="4"/>
  <c r="J37" i="4"/>
  <c r="L47" i="4"/>
  <c r="L37" i="4"/>
  <c r="N47" i="4"/>
  <c r="S17" i="36" s="1"/>
  <c r="N37" i="4"/>
  <c r="H20" i="3"/>
  <c r="J20" i="3"/>
  <c r="I21" i="3"/>
  <c r="D70" i="4"/>
  <c r="K21" i="3"/>
  <c r="F70" i="4"/>
  <c r="E47" i="4"/>
  <c r="J17" i="36" s="1"/>
  <c r="E37" i="4"/>
  <c r="K47" i="4"/>
  <c r="K37" i="4"/>
  <c r="L20" i="3"/>
  <c r="G63" i="4"/>
  <c r="H21" i="3"/>
  <c r="C70" i="4"/>
  <c r="L21" i="3"/>
  <c r="G70" i="4"/>
  <c r="G37" i="4"/>
  <c r="M37" i="4"/>
  <c r="R222" i="7"/>
  <c r="F37" i="4"/>
  <c r="D28" i="4"/>
  <c r="I15" i="36" s="1"/>
  <c r="F28" i="4"/>
  <c r="K15" i="36" s="1"/>
  <c r="H28" i="4"/>
  <c r="M15" i="36" s="1"/>
  <c r="J28" i="4"/>
  <c r="O15" i="36" s="1"/>
  <c r="L28" i="4"/>
  <c r="Q15" i="36" s="1"/>
  <c r="N28" i="4"/>
  <c r="S15" i="36" s="1"/>
  <c r="C28" i="4"/>
  <c r="E28" i="4"/>
  <c r="J15" i="36" s="1"/>
  <c r="G28" i="4"/>
  <c r="L15" i="36" s="1"/>
  <c r="I28" i="4"/>
  <c r="N15" i="36" s="1"/>
  <c r="K28" i="4"/>
  <c r="P15" i="36" s="1"/>
  <c r="M28" i="4"/>
  <c r="R15" i="36" s="1"/>
  <c r="M19" i="40" l="1"/>
  <c r="C61" i="33"/>
  <c r="C63" i="33" s="1"/>
  <c r="AB7" i="7"/>
  <c r="AC7" i="7" s="1"/>
  <c r="C68" i="33"/>
  <c r="C70" i="33" s="1"/>
  <c r="AB8" i="7"/>
  <c r="AC8" i="7" s="1"/>
  <c r="E38" i="33"/>
  <c r="E40" i="33" s="1"/>
  <c r="C37" i="33"/>
  <c r="K17" i="3"/>
  <c r="K17" i="36"/>
  <c r="I17" i="3"/>
  <c r="I17" i="36"/>
  <c r="H17" i="3"/>
  <c r="H17" i="36"/>
  <c r="H15" i="3"/>
  <c r="H15" i="36"/>
  <c r="P17" i="3"/>
  <c r="P17" i="36"/>
  <c r="Q17" i="3"/>
  <c r="Q17" i="36"/>
  <c r="O17" i="3"/>
  <c r="O17" i="36"/>
  <c r="R17" i="3"/>
  <c r="R17" i="36"/>
  <c r="L26" i="3"/>
  <c r="L26" i="36"/>
  <c r="AB161" i="7"/>
  <c r="M63" i="4"/>
  <c r="Y4" i="29"/>
  <c r="L17" i="3"/>
  <c r="G49" i="4"/>
  <c r="D49" i="4"/>
  <c r="AK4" i="29"/>
  <c r="AI3" i="29"/>
  <c r="AE4" i="29"/>
  <c r="AC3" i="29"/>
  <c r="AN4" i="29"/>
  <c r="AL3" i="29"/>
  <c r="AH4" i="29"/>
  <c r="AF3" i="29"/>
  <c r="AB4" i="29"/>
  <c r="Z3" i="29"/>
  <c r="G19" i="1"/>
  <c r="G10" i="5"/>
  <c r="G23" i="6"/>
  <c r="G78" i="4"/>
  <c r="V4" i="29"/>
  <c r="T3" i="29"/>
  <c r="S4" i="29"/>
  <c r="Q3" i="29"/>
  <c r="Q42" i="29" s="1"/>
  <c r="E13" i="13"/>
  <c r="M4" i="29"/>
  <c r="K3" i="29"/>
  <c r="S17" i="3"/>
  <c r="N49" i="4"/>
  <c r="E78" i="4"/>
  <c r="M67" i="1"/>
  <c r="T243" i="7"/>
  <c r="I67" i="1"/>
  <c r="H67" i="1"/>
  <c r="K67" i="1"/>
  <c r="J67" i="1"/>
  <c r="L49" i="4"/>
  <c r="K38" i="4"/>
  <c r="M49" i="4"/>
  <c r="J49" i="4"/>
  <c r="E49" i="4"/>
  <c r="J17" i="3"/>
  <c r="E38" i="4"/>
  <c r="E40" i="4" s="1"/>
  <c r="F49" i="4"/>
  <c r="N38" i="4"/>
  <c r="H49" i="4"/>
  <c r="M17" i="3"/>
  <c r="I49" i="4"/>
  <c r="N17" i="3"/>
  <c r="K49" i="4"/>
  <c r="G67" i="1"/>
  <c r="T241" i="7"/>
  <c r="L67" i="1"/>
  <c r="T240" i="7"/>
  <c r="T239" i="7"/>
  <c r="R244" i="7"/>
  <c r="T244" i="7" s="1"/>
  <c r="T242" i="7"/>
  <c r="P243" i="7"/>
  <c r="E67" i="1"/>
  <c r="D67" i="1"/>
  <c r="D243" i="7"/>
  <c r="J10" i="13"/>
  <c r="K10" i="13"/>
  <c r="G13" i="13"/>
  <c r="G10" i="13"/>
  <c r="I20" i="3"/>
  <c r="D63" i="4"/>
  <c r="L10" i="13"/>
  <c r="M10" i="13"/>
  <c r="O18" i="10"/>
  <c r="F18" i="10" s="1"/>
  <c r="N10" i="5"/>
  <c r="N19" i="1"/>
  <c r="N23" i="6"/>
  <c r="N78" i="4"/>
  <c r="O16" i="10"/>
  <c r="F16" i="10" s="1"/>
  <c r="L10" i="5"/>
  <c r="H10" i="13"/>
  <c r="I10" i="13"/>
  <c r="I13" i="13"/>
  <c r="J10" i="5"/>
  <c r="J19" i="1"/>
  <c r="J23" i="6"/>
  <c r="J78" i="4"/>
  <c r="H19" i="1"/>
  <c r="H23" i="6"/>
  <c r="M12" i="36"/>
  <c r="H10" i="5"/>
  <c r="H78" i="4"/>
  <c r="M23" i="6"/>
  <c r="O17" i="10"/>
  <c r="F17" i="10" s="1"/>
  <c r="M10" i="5"/>
  <c r="M19" i="1"/>
  <c r="M78" i="4"/>
  <c r="K19" i="1"/>
  <c r="K10" i="5"/>
  <c r="K78" i="4"/>
  <c r="I23" i="6"/>
  <c r="I10" i="5"/>
  <c r="R254" i="7"/>
  <c r="N11" i="10"/>
  <c r="L12" i="3"/>
  <c r="F10" i="5"/>
  <c r="E23" i="6"/>
  <c r="E10" i="5"/>
  <c r="E19" i="1"/>
  <c r="D10" i="13"/>
  <c r="D13" i="13"/>
  <c r="C10" i="13"/>
  <c r="C13" i="13"/>
  <c r="D10" i="5"/>
  <c r="D19" i="1"/>
  <c r="H26" i="36"/>
  <c r="C10" i="5"/>
  <c r="H12" i="36"/>
  <c r="C78" i="4"/>
  <c r="AD223" i="7"/>
  <c r="B10" i="13"/>
  <c r="B13" i="13"/>
  <c r="R15" i="3"/>
  <c r="M30" i="4"/>
  <c r="N15" i="3"/>
  <c r="I30" i="4"/>
  <c r="J15" i="3"/>
  <c r="E30" i="4"/>
  <c r="L30" i="4"/>
  <c r="Q15" i="3"/>
  <c r="H30" i="4"/>
  <c r="M15" i="3"/>
  <c r="D30" i="4"/>
  <c r="I15" i="3"/>
  <c r="P15" i="3"/>
  <c r="K30" i="4"/>
  <c r="L15" i="3"/>
  <c r="G30" i="4"/>
  <c r="N30" i="4"/>
  <c r="S15" i="3"/>
  <c r="J30" i="4"/>
  <c r="O15" i="3"/>
  <c r="F30" i="4"/>
  <c r="K15" i="3"/>
  <c r="C30" i="4"/>
  <c r="F10" i="13"/>
  <c r="E10" i="13" s="1"/>
  <c r="F13" i="13"/>
  <c r="T251" i="7" l="1"/>
  <c r="F25" i="28" s="1"/>
  <c r="T252" i="7"/>
  <c r="F23" i="28" s="1"/>
  <c r="T249" i="7"/>
  <c r="F22" i="28" s="1"/>
  <c r="T250" i="7"/>
  <c r="F24" i="28" s="1"/>
  <c r="T247" i="7"/>
  <c r="F20" i="28" s="1"/>
  <c r="T248" i="7"/>
  <c r="F21" i="28" s="1"/>
  <c r="L9" i="36"/>
  <c r="F19" i="28"/>
  <c r="F18" i="28"/>
  <c r="F27" i="28"/>
  <c r="F27" i="38"/>
  <c r="N10" i="18"/>
  <c r="P25" i="3"/>
  <c r="P25" i="36"/>
  <c r="R25" i="3"/>
  <c r="R25" i="36"/>
  <c r="Q25" i="3"/>
  <c r="Q25" i="36"/>
  <c r="S16" i="3"/>
  <c r="S16" i="36"/>
  <c r="J16" i="3"/>
  <c r="J16" i="36"/>
  <c r="P16" i="3"/>
  <c r="P16" i="36"/>
  <c r="P26" i="3"/>
  <c r="P26" i="36"/>
  <c r="S26" i="3"/>
  <c r="S26" i="36"/>
  <c r="N26" i="3"/>
  <c r="N26" i="36"/>
  <c r="N25" i="3"/>
  <c r="N25" i="36"/>
  <c r="M26" i="3"/>
  <c r="M26" i="36"/>
  <c r="M25" i="3"/>
  <c r="M25" i="36"/>
  <c r="O26" i="3"/>
  <c r="O26" i="36"/>
  <c r="O25" i="3"/>
  <c r="O25" i="36"/>
  <c r="S25" i="3"/>
  <c r="S25" i="36"/>
  <c r="M16" i="3"/>
  <c r="M16" i="36"/>
  <c r="Q26" i="3"/>
  <c r="Q26" i="36"/>
  <c r="R26" i="3"/>
  <c r="R26" i="36"/>
  <c r="L25" i="3"/>
  <c r="L25" i="36"/>
  <c r="L12" i="36"/>
  <c r="K25" i="3"/>
  <c r="K25" i="36"/>
  <c r="K26" i="3"/>
  <c r="K26" i="36"/>
  <c r="J25" i="3"/>
  <c r="J25" i="36"/>
  <c r="J26" i="3"/>
  <c r="J26" i="36"/>
  <c r="I25" i="3"/>
  <c r="I25" i="36"/>
  <c r="I26" i="3"/>
  <c r="I26" i="36"/>
  <c r="H25" i="3"/>
  <c r="H25" i="36"/>
  <c r="AN243" i="7"/>
  <c r="AN241" i="7"/>
  <c r="AN240" i="7"/>
  <c r="AN239" i="7"/>
  <c r="AN242" i="7"/>
  <c r="K18" i="28" s="1"/>
  <c r="N67" i="1"/>
  <c r="T261" i="7"/>
  <c r="T259" i="7"/>
  <c r="T262" i="7"/>
  <c r="T260" i="7"/>
  <c r="P241" i="7"/>
  <c r="C18" i="28"/>
  <c r="AJ223" i="7"/>
  <c r="AF223" i="7"/>
  <c r="AD224" i="7"/>
  <c r="AF221" i="7"/>
  <c r="AJ221" i="7"/>
  <c r="AF220" i="7"/>
  <c r="AF219" i="7"/>
  <c r="AJ220" i="7"/>
  <c r="AJ219" i="7"/>
  <c r="AF222" i="7"/>
  <c r="AJ222" i="7"/>
  <c r="J36" i="36"/>
  <c r="F23" i="6"/>
  <c r="S36" i="36"/>
  <c r="L23" i="6"/>
  <c r="K23" i="6"/>
  <c r="K68" i="1"/>
  <c r="P42" i="36" s="1"/>
  <c r="AB3" i="29"/>
  <c r="Z42" i="29"/>
  <c r="AH3" i="29"/>
  <c r="AF42" i="29"/>
  <c r="AN3" i="29"/>
  <c r="AE3" i="29"/>
  <c r="AC42" i="29"/>
  <c r="AK3" i="29"/>
  <c r="AI42" i="29"/>
  <c r="P240" i="7"/>
  <c r="P242" i="7"/>
  <c r="N244" i="7"/>
  <c r="P259" i="7" s="1"/>
  <c r="N9" i="13"/>
  <c r="N10" i="13" s="1"/>
  <c r="V3" i="29"/>
  <c r="T42" i="29"/>
  <c r="S3" i="29"/>
  <c r="AO3" i="29"/>
  <c r="AO42" i="29" s="1"/>
  <c r="AQ4" i="29"/>
  <c r="P4" i="29"/>
  <c r="N3" i="29"/>
  <c r="N42" i="29" s="1"/>
  <c r="E70" i="4"/>
  <c r="J21" i="3"/>
  <c r="M3" i="29"/>
  <c r="X222" i="7"/>
  <c r="G6" i="28" s="1"/>
  <c r="W3" i="29"/>
  <c r="Y3" i="29" s="1"/>
  <c r="X220" i="7"/>
  <c r="R12" i="36"/>
  <c r="N70" i="1"/>
  <c r="P239" i="7"/>
  <c r="D240" i="7"/>
  <c r="D239" i="7"/>
  <c r="D241" i="7"/>
  <c r="H40" i="4"/>
  <c r="P12" i="3"/>
  <c r="H13" i="13"/>
  <c r="D242" i="7"/>
  <c r="B18" i="28" s="1"/>
  <c r="D18" i="28"/>
  <c r="B244" i="7"/>
  <c r="D261" i="7" s="1"/>
  <c r="F67" i="1"/>
  <c r="H68" i="1"/>
  <c r="M42" i="36" s="1"/>
  <c r="E68" i="1"/>
  <c r="J42" i="36" s="1"/>
  <c r="C67" i="1"/>
  <c r="P261" i="7"/>
  <c r="H261" i="7"/>
  <c r="H259" i="7"/>
  <c r="M12" i="3"/>
  <c r="K20" i="1"/>
  <c r="I19" i="1"/>
  <c r="AB240" i="7"/>
  <c r="Z244" i="7"/>
  <c r="AB243" i="7"/>
  <c r="AB241" i="7"/>
  <c r="AB242" i="7"/>
  <c r="H18" i="28" s="1"/>
  <c r="AB239" i="7"/>
  <c r="AP244" i="7"/>
  <c r="AR243" i="7"/>
  <c r="AR241" i="7"/>
  <c r="AR242" i="7"/>
  <c r="L18" i="28" s="1"/>
  <c r="AR240" i="7"/>
  <c r="AR239" i="7"/>
  <c r="N12" i="10"/>
  <c r="AD244" i="7"/>
  <c r="AF243" i="7"/>
  <c r="AF242" i="7"/>
  <c r="I18" i="28" s="1"/>
  <c r="AF240" i="7"/>
  <c r="AF239" i="7"/>
  <c r="AF241" i="7"/>
  <c r="N20" i="1"/>
  <c r="N22" i="1" s="1"/>
  <c r="L19" i="1"/>
  <c r="AL244" i="7"/>
  <c r="N18" i="10"/>
  <c r="D24" i="28"/>
  <c r="D21" i="28"/>
  <c r="I78" i="4"/>
  <c r="K79" i="4"/>
  <c r="P22" i="36" s="1"/>
  <c r="N13" i="10"/>
  <c r="N15" i="10"/>
  <c r="AJ240" i="7"/>
  <c r="AH244" i="7"/>
  <c r="AJ243" i="7"/>
  <c r="AJ241" i="7"/>
  <c r="AJ242" i="7"/>
  <c r="J18" i="28" s="1"/>
  <c r="AJ239" i="7"/>
  <c r="N17" i="10"/>
  <c r="N14" i="10"/>
  <c r="L78" i="4"/>
  <c r="N79" i="4"/>
  <c r="S22" i="36" s="1"/>
  <c r="N16" i="10"/>
  <c r="AT244" i="7"/>
  <c r="AV243" i="7"/>
  <c r="AV240" i="7"/>
  <c r="AV242" i="7"/>
  <c r="M18" i="28" s="1"/>
  <c r="AV241" i="7"/>
  <c r="AV239" i="7"/>
  <c r="P244" i="7"/>
  <c r="F254" i="7"/>
  <c r="C19" i="28"/>
  <c r="C24" i="28"/>
  <c r="C22" i="28"/>
  <c r="C21" i="28"/>
  <c r="C23" i="28"/>
  <c r="C25" i="28"/>
  <c r="F19" i="1"/>
  <c r="H20" i="1"/>
  <c r="N10" i="10"/>
  <c r="H79" i="4"/>
  <c r="M22" i="36" s="1"/>
  <c r="F78" i="4"/>
  <c r="N9" i="10"/>
  <c r="N8" i="10"/>
  <c r="C19" i="1"/>
  <c r="E20" i="1"/>
  <c r="C13" i="14"/>
  <c r="C10" i="14"/>
  <c r="H12" i="3"/>
  <c r="N7" i="10"/>
  <c r="O21" i="10"/>
  <c r="H26" i="3"/>
  <c r="E79" i="4"/>
  <c r="D78" i="4"/>
  <c r="O12" i="36"/>
  <c r="P251" i="7" l="1"/>
  <c r="P249" i="7"/>
  <c r="E22" i="28" s="1"/>
  <c r="P248" i="7"/>
  <c r="E21" i="28" s="1"/>
  <c r="P250" i="7"/>
  <c r="E24" i="28" s="1"/>
  <c r="P252" i="7"/>
  <c r="E23" i="28" s="1"/>
  <c r="P247" i="7"/>
  <c r="E20" i="28" s="1"/>
  <c r="N254" i="7"/>
  <c r="E27" i="28" s="1"/>
  <c r="P262" i="7"/>
  <c r="P260" i="7"/>
  <c r="L9" i="3"/>
  <c r="R12" i="3"/>
  <c r="K70" i="1"/>
  <c r="D250" i="7"/>
  <c r="B24" i="28" s="1"/>
  <c r="P42" i="3"/>
  <c r="AV249" i="7"/>
  <c r="M22" i="28" s="1"/>
  <c r="AV248" i="7"/>
  <c r="M21" i="28" s="1"/>
  <c r="AV252" i="7"/>
  <c r="M23" i="28" s="1"/>
  <c r="AV247" i="7"/>
  <c r="M20" i="28" s="1"/>
  <c r="AV251" i="7"/>
  <c r="M25" i="28" s="1"/>
  <c r="AV250" i="7"/>
  <c r="M24" i="28" s="1"/>
  <c r="K12" i="36"/>
  <c r="K12" i="3"/>
  <c r="E25" i="28"/>
  <c r="E19" i="28"/>
  <c r="E18" i="28"/>
  <c r="C27" i="28"/>
  <c r="C27" i="38"/>
  <c r="AN260" i="7"/>
  <c r="AN262" i="7"/>
  <c r="AN261" i="7"/>
  <c r="AN259" i="7"/>
  <c r="AD254" i="7"/>
  <c r="I27" i="28" s="1"/>
  <c r="AF260" i="7"/>
  <c r="AF262" i="7"/>
  <c r="AF261" i="7"/>
  <c r="AF259" i="7"/>
  <c r="AR260" i="7"/>
  <c r="AR262" i="7"/>
  <c r="AR261" i="7"/>
  <c r="AR259" i="7"/>
  <c r="AV261" i="7"/>
  <c r="AV259" i="7"/>
  <c r="AV260" i="7"/>
  <c r="AV262" i="7"/>
  <c r="AJ261" i="7"/>
  <c r="AJ259" i="7"/>
  <c r="AJ260" i="7"/>
  <c r="AJ262" i="7"/>
  <c r="AB261" i="7"/>
  <c r="AB259" i="7"/>
  <c r="AB260" i="7"/>
  <c r="AB262" i="7"/>
  <c r="D248" i="7"/>
  <c r="S8" i="3"/>
  <c r="S8" i="36"/>
  <c r="P8" i="3"/>
  <c r="P8" i="36"/>
  <c r="S42" i="3"/>
  <c r="S42" i="36"/>
  <c r="P12" i="36"/>
  <c r="Q12" i="3"/>
  <c r="Q12" i="36"/>
  <c r="S12" i="3"/>
  <c r="S12" i="36"/>
  <c r="P36" i="3"/>
  <c r="P36" i="36"/>
  <c r="M8" i="3"/>
  <c r="M8" i="36"/>
  <c r="M36" i="3"/>
  <c r="M36" i="36"/>
  <c r="J8" i="3"/>
  <c r="J8" i="36"/>
  <c r="D249" i="7"/>
  <c r="B22" i="28" s="1"/>
  <c r="D252" i="7"/>
  <c r="J22" i="3"/>
  <c r="J22" i="36"/>
  <c r="AN244" i="7"/>
  <c r="K19" i="28" s="1"/>
  <c r="AN247" i="7"/>
  <c r="AN249" i="7"/>
  <c r="K22" i="28" s="1"/>
  <c r="AN251" i="7"/>
  <c r="K25" i="28" s="1"/>
  <c r="AN248" i="7"/>
  <c r="K21" i="28" s="1"/>
  <c r="AN250" i="7"/>
  <c r="K24" i="28" s="1"/>
  <c r="AN252" i="7"/>
  <c r="K23" i="28" s="1"/>
  <c r="D27" i="28"/>
  <c r="AF224" i="7"/>
  <c r="AJ224" i="7"/>
  <c r="AF232" i="7"/>
  <c r="AD235" i="7"/>
  <c r="AJ232" i="7"/>
  <c r="AJ233" i="7"/>
  <c r="AF233" i="7"/>
  <c r="AF231" i="7"/>
  <c r="AF228" i="7"/>
  <c r="AJ230" i="7"/>
  <c r="AJ229" i="7"/>
  <c r="AJ231" i="7"/>
  <c r="AJ228" i="7"/>
  <c r="AF230" i="7"/>
  <c r="AF229" i="7"/>
  <c r="N13" i="13"/>
  <c r="M13" i="13" s="1"/>
  <c r="L13" i="13" s="1"/>
  <c r="K13" i="13" s="1"/>
  <c r="J13" i="13" s="1"/>
  <c r="AI55" i="29"/>
  <c r="AK42" i="29"/>
  <c r="AE42" i="29"/>
  <c r="AC55" i="29"/>
  <c r="AL55" i="29"/>
  <c r="AN42" i="29"/>
  <c r="AF55" i="29"/>
  <c r="AH42" i="29"/>
  <c r="Z55" i="29"/>
  <c r="AB42" i="29"/>
  <c r="V42" i="29"/>
  <c r="T55" i="29"/>
  <c r="S42" i="29"/>
  <c r="Q55" i="29"/>
  <c r="AQ3" i="29"/>
  <c r="P3" i="29"/>
  <c r="V224" i="7"/>
  <c r="X223" i="7"/>
  <c r="X221" i="7"/>
  <c r="X219" i="7"/>
  <c r="D23" i="28"/>
  <c r="D22" i="28"/>
  <c r="D25" i="28"/>
  <c r="D19" i="28"/>
  <c r="M42" i="29"/>
  <c r="K55" i="29"/>
  <c r="W42" i="29"/>
  <c r="D251" i="7"/>
  <c r="B25" i="28" s="1"/>
  <c r="D244" i="7"/>
  <c r="B19" i="28" s="1"/>
  <c r="B254" i="7"/>
  <c r="D247" i="7"/>
  <c r="D259" i="7"/>
  <c r="M42" i="3"/>
  <c r="H70" i="1"/>
  <c r="J42" i="3"/>
  <c r="E70" i="1"/>
  <c r="C20" i="28"/>
  <c r="N23" i="5"/>
  <c r="D20" i="28"/>
  <c r="S36" i="3"/>
  <c r="AV244" i="7"/>
  <c r="M19" i="28" s="1"/>
  <c r="AT254" i="7"/>
  <c r="M27" i="28" s="1"/>
  <c r="S22" i="3"/>
  <c r="N81" i="4"/>
  <c r="AH254" i="7"/>
  <c r="J27" i="28" s="1"/>
  <c r="AJ244" i="7"/>
  <c r="J19" i="28" s="1"/>
  <c r="AJ249" i="7"/>
  <c r="J22" i="28" s="1"/>
  <c r="AJ248" i="7"/>
  <c r="J21" i="28" s="1"/>
  <c r="AJ252" i="7"/>
  <c r="J23" i="28" s="1"/>
  <c r="AJ251" i="7"/>
  <c r="J25" i="28" s="1"/>
  <c r="AJ250" i="7"/>
  <c r="J24" i="28" s="1"/>
  <c r="P22" i="3"/>
  <c r="K81" i="4"/>
  <c r="T223" i="7"/>
  <c r="T221" i="7"/>
  <c r="T220" i="7"/>
  <c r="T219" i="7"/>
  <c r="T222" i="7"/>
  <c r="F6" i="28" s="1"/>
  <c r="R224" i="7"/>
  <c r="AP254" i="7"/>
  <c r="L27" i="28" s="1"/>
  <c r="AR244" i="7"/>
  <c r="L19" i="28" s="1"/>
  <c r="AR247" i="7"/>
  <c r="AR251" i="7"/>
  <c r="L25" i="28" s="1"/>
  <c r="AR250" i="7"/>
  <c r="L24" i="28" s="1"/>
  <c r="AR249" i="7"/>
  <c r="L22" i="28" s="1"/>
  <c r="AR248" i="7"/>
  <c r="L21" i="28" s="1"/>
  <c r="AR252" i="7"/>
  <c r="L23" i="28" s="1"/>
  <c r="AL254" i="7"/>
  <c r="K27" i="28" s="1"/>
  <c r="AF244" i="7"/>
  <c r="I19" i="28" s="1"/>
  <c r="AF250" i="7"/>
  <c r="I24" i="28" s="1"/>
  <c r="AF249" i="7"/>
  <c r="I22" i="28" s="1"/>
  <c r="AF248" i="7"/>
  <c r="I21" i="28" s="1"/>
  <c r="AF252" i="7"/>
  <c r="I23" i="28" s="1"/>
  <c r="AF247" i="7"/>
  <c r="AF251" i="7"/>
  <c r="I25" i="28" s="1"/>
  <c r="Z254" i="7"/>
  <c r="H27" i="28" s="1"/>
  <c r="AB244" i="7"/>
  <c r="H19" i="28" s="1"/>
  <c r="AB247" i="7"/>
  <c r="AB251" i="7"/>
  <c r="H25" i="28" s="1"/>
  <c r="AB250" i="7"/>
  <c r="H24" i="28" s="1"/>
  <c r="AB249" i="7"/>
  <c r="H22" i="28" s="1"/>
  <c r="AB248" i="7"/>
  <c r="H21" i="28" s="1"/>
  <c r="AB252" i="7"/>
  <c r="H23" i="28" s="1"/>
  <c r="B36" i="18"/>
  <c r="M22" i="3"/>
  <c r="H81" i="4"/>
  <c r="F21" i="10"/>
  <c r="N21" i="10"/>
  <c r="O12" i="3"/>
  <c r="J36" i="3"/>
  <c r="E26" i="6"/>
  <c r="E81" i="4"/>
  <c r="E23" i="5"/>
  <c r="K9" i="3" l="1"/>
  <c r="K9" i="36"/>
  <c r="S5" i="7"/>
  <c r="P15" i="10" s="1"/>
  <c r="AC56" i="29"/>
  <c r="G5" i="7"/>
  <c r="P9" i="10" s="1"/>
  <c r="K56" i="29"/>
  <c r="K5" i="7"/>
  <c r="P11" i="10" s="1"/>
  <c r="Q56" i="29"/>
  <c r="M5" i="7"/>
  <c r="P12" i="10" s="1"/>
  <c r="T56" i="29"/>
  <c r="Q5" i="7"/>
  <c r="P14" i="10" s="1"/>
  <c r="Z56" i="29"/>
  <c r="U5" i="7"/>
  <c r="P16" i="10" s="1"/>
  <c r="AF56" i="29"/>
  <c r="Y5" i="7"/>
  <c r="P18" i="10" s="1"/>
  <c r="W5" i="7"/>
  <c r="P17" i="10" s="1"/>
  <c r="AI56" i="29"/>
  <c r="S9" i="36"/>
  <c r="E27" i="38"/>
  <c r="X233" i="7"/>
  <c r="G11" i="28" s="1"/>
  <c r="N9" i="36"/>
  <c r="H20" i="28"/>
  <c r="O9" i="36"/>
  <c r="I20" i="28"/>
  <c r="R9" i="36"/>
  <c r="L20" i="28"/>
  <c r="P9" i="36"/>
  <c r="J20" i="28"/>
  <c r="Q9" i="36"/>
  <c r="K20" i="28"/>
  <c r="N12" i="36"/>
  <c r="B23" i="28"/>
  <c r="B27" i="28"/>
  <c r="B27" i="38"/>
  <c r="B21" i="28"/>
  <c r="K7" i="1"/>
  <c r="B20" i="28"/>
  <c r="H9" i="3"/>
  <c r="H9" i="36"/>
  <c r="X229" i="7"/>
  <c r="G9" i="28" s="1"/>
  <c r="S55" i="29"/>
  <c r="AH55" i="29"/>
  <c r="AN55" i="29"/>
  <c r="AK55" i="29"/>
  <c r="AE55" i="29"/>
  <c r="M55" i="29"/>
  <c r="V55" i="29"/>
  <c r="AB55" i="29"/>
  <c r="X228" i="7"/>
  <c r="G8" i="28" s="1"/>
  <c r="X230" i="7"/>
  <c r="G10" i="28" s="1"/>
  <c r="X231" i="7"/>
  <c r="G12" i="28" s="1"/>
  <c r="V235" i="7"/>
  <c r="G15" i="28" s="1"/>
  <c r="X224" i="7"/>
  <c r="G7" i="28" s="1"/>
  <c r="X232" i="7"/>
  <c r="G13" i="28" s="1"/>
  <c r="AQ42" i="29"/>
  <c r="P42" i="29"/>
  <c r="N55" i="29"/>
  <c r="W55" i="29"/>
  <c r="Y42" i="29"/>
  <c r="N9" i="3"/>
  <c r="O9" i="3"/>
  <c r="R9" i="3"/>
  <c r="Q9" i="3"/>
  <c r="M9" i="3"/>
  <c r="P9" i="3"/>
  <c r="S9" i="3"/>
  <c r="T232" i="7"/>
  <c r="F13" i="28" s="1"/>
  <c r="T229" i="7"/>
  <c r="F9" i="28" s="1"/>
  <c r="T224" i="7"/>
  <c r="F7" i="28" s="1"/>
  <c r="T230" i="7"/>
  <c r="F10" i="28" s="1"/>
  <c r="T233" i="7"/>
  <c r="F11" i="28" s="1"/>
  <c r="T228" i="7"/>
  <c r="F8" i="28" s="1"/>
  <c r="T231" i="7"/>
  <c r="F12" i="28" s="1"/>
  <c r="R235" i="7"/>
  <c r="F15" i="28" s="1"/>
  <c r="N12" i="3"/>
  <c r="H23" i="5"/>
  <c r="N40" i="4"/>
  <c r="K40" i="4" s="1"/>
  <c r="AL263" i="7" l="1"/>
  <c r="AN263" i="7" s="1"/>
  <c r="AD263" i="7"/>
  <c r="AF263" i="7" s="1"/>
  <c r="V263" i="7"/>
  <c r="X263" i="7" s="1"/>
  <c r="E7" i="1"/>
  <c r="AH263" i="7"/>
  <c r="AJ263" i="7" s="1"/>
  <c r="H7" i="1"/>
  <c r="R263" i="7"/>
  <c r="T263" i="7" s="1"/>
  <c r="G7" i="1"/>
  <c r="G9" i="1" s="1"/>
  <c r="M7" i="1"/>
  <c r="M9" i="1" s="1"/>
  <c r="AP263" i="7"/>
  <c r="AR263" i="7" s="1"/>
  <c r="N7" i="1"/>
  <c r="N9" i="1" s="1"/>
  <c r="N12" i="1" s="1"/>
  <c r="J7" i="1"/>
  <c r="AT263" i="7"/>
  <c r="AV263" i="7" s="1"/>
  <c r="L7" i="1"/>
  <c r="J263" i="7"/>
  <c r="L263" i="7" s="1"/>
  <c r="O5" i="7"/>
  <c r="P13" i="10" s="1"/>
  <c r="W56" i="29"/>
  <c r="I5" i="7"/>
  <c r="P10" i="10" s="1"/>
  <c r="N56" i="29"/>
  <c r="P55" i="29"/>
  <c r="R15" i="10"/>
  <c r="K9" i="1"/>
  <c r="R17" i="10"/>
  <c r="R18" i="10"/>
  <c r="R16" i="10"/>
  <c r="R11" i="10"/>
  <c r="Y55" i="29"/>
  <c r="R9" i="10"/>
  <c r="R12" i="10"/>
  <c r="K23" i="5"/>
  <c r="J12" i="3"/>
  <c r="N10" i="1" l="1"/>
  <c r="F7" i="1"/>
  <c r="F9" i="1" s="1"/>
  <c r="Z263" i="7"/>
  <c r="AB263" i="7" s="1"/>
  <c r="I7" i="1"/>
  <c r="I9" i="1" s="1"/>
  <c r="N263" i="7"/>
  <c r="P263" i="7" s="1"/>
  <c r="I12" i="36"/>
  <c r="I12" i="3"/>
  <c r="J12" i="36"/>
  <c r="L9" i="1"/>
  <c r="R10" i="10"/>
  <c r="R13" i="10"/>
  <c r="E9" i="1"/>
  <c r="H9" i="1"/>
  <c r="R14" i="10"/>
  <c r="J9" i="1"/>
  <c r="K22" i="1"/>
  <c r="H22" i="1" s="1"/>
  <c r="E22" i="1" s="1"/>
  <c r="S7" i="3" l="1"/>
  <c r="S7" i="36"/>
  <c r="K10" i="1"/>
  <c r="H10" i="1"/>
  <c r="C12" i="5"/>
  <c r="G12" i="5"/>
  <c r="J12" i="5"/>
  <c r="L12" i="5"/>
  <c r="N12" i="5"/>
  <c r="D12" i="5"/>
  <c r="F12" i="5"/>
  <c r="E12" i="5"/>
  <c r="K12" i="5"/>
  <c r="M12" i="5"/>
  <c r="C49" i="4"/>
  <c r="I12" i="5"/>
  <c r="H12" i="5"/>
  <c r="P7" i="3" l="1"/>
  <c r="P7" i="36"/>
  <c r="M7" i="3"/>
  <c r="M7" i="36"/>
  <c r="K12" i="1"/>
  <c r="H12" i="1"/>
  <c r="D10" i="14"/>
  <c r="E10" i="14"/>
  <c r="F10" i="14" l="1"/>
  <c r="G10" i="14" l="1"/>
  <c r="H10" i="14" l="1"/>
  <c r="I10" i="14" l="1"/>
  <c r="J10" i="14" l="1"/>
  <c r="K10" i="14" l="1"/>
  <c r="L10" i="14" l="1"/>
  <c r="M10" i="14" l="1"/>
  <c r="N10" i="14" l="1"/>
  <c r="D13" i="14"/>
  <c r="E13" i="14" l="1"/>
  <c r="F13" i="14"/>
  <c r="G13" i="14" l="1"/>
  <c r="H13" i="14" l="1"/>
  <c r="I13" i="14" l="1"/>
  <c r="J13" i="14" l="1"/>
  <c r="K13" i="14" l="1"/>
  <c r="L13" i="14" l="1"/>
  <c r="M13" i="14" l="1"/>
  <c r="N13" i="14"/>
  <c r="D260" i="7" l="1"/>
  <c r="B262" i="7"/>
  <c r="D262" i="7"/>
  <c r="G50" i="29"/>
  <c r="E49" i="29"/>
  <c r="G49" i="29" s="1"/>
  <c r="E53" i="29" l="1"/>
  <c r="G53" i="29" l="1"/>
  <c r="E55" i="29"/>
  <c r="E56" i="29" l="1"/>
  <c r="C5" i="7"/>
  <c r="G55" i="29"/>
  <c r="B263" i="7" l="1"/>
  <c r="C7" i="1"/>
  <c r="P7" i="10"/>
  <c r="R7" i="10" l="1"/>
  <c r="C9" i="1"/>
  <c r="D263" i="7"/>
  <c r="G42" i="37" l="1"/>
  <c r="C261" i="7"/>
  <c r="E41" i="37"/>
  <c r="G41" i="37" s="1"/>
  <c r="E50" i="37"/>
  <c r="E52" i="37" s="1"/>
  <c r="G52" i="37" l="1"/>
  <c r="E53" i="37"/>
  <c r="D5" i="7"/>
  <c r="G50" i="37"/>
  <c r="E261" i="7"/>
  <c r="AY259" i="7" l="1"/>
  <c r="E259" i="7"/>
  <c r="C7" i="32"/>
  <c r="P7" i="39"/>
  <c r="C263" i="7"/>
  <c r="C262" i="7"/>
  <c r="R7" i="39" l="1"/>
  <c r="E262" i="7"/>
  <c r="E263" i="7"/>
  <c r="C9" i="32"/>
  <c r="J50" i="29"/>
  <c r="AO50" i="29"/>
  <c r="AQ50" i="29" s="1"/>
  <c r="H49" i="29"/>
  <c r="J49" i="29" s="1"/>
  <c r="AO49" i="29" l="1"/>
  <c r="AQ49" i="29" s="1"/>
  <c r="H53" i="29"/>
  <c r="F260" i="7"/>
  <c r="AO53" i="29" l="1"/>
  <c r="AO55" i="29" s="1"/>
  <c r="H260" i="7"/>
  <c r="AX260" i="7"/>
  <c r="F262" i="7"/>
  <c r="J53" i="29"/>
  <c r="H55" i="29"/>
  <c r="AQ53" i="29" l="1"/>
  <c r="H56" i="29"/>
  <c r="E5" i="7"/>
  <c r="J55" i="29"/>
  <c r="AQ55" i="29"/>
  <c r="AO56" i="29"/>
  <c r="H262" i="7"/>
  <c r="AX262" i="7"/>
  <c r="P8" i="10" l="1"/>
  <c r="F263" i="7"/>
  <c r="D7" i="1"/>
  <c r="AA5" i="7"/>
  <c r="H263" i="7" l="1"/>
  <c r="AX263" i="7"/>
  <c r="E10" i="1"/>
  <c r="D9" i="1"/>
  <c r="R21" i="10"/>
  <c r="R8" i="10"/>
  <c r="E12" i="1" l="1"/>
  <c r="J7" i="36"/>
  <c r="J7" i="3"/>
  <c r="J42" i="37"/>
  <c r="AO42" i="37"/>
  <c r="AQ42" i="37" s="1"/>
  <c r="H41" i="37"/>
  <c r="J41" i="37" s="1"/>
  <c r="AO41" i="37" l="1"/>
  <c r="H50" i="37"/>
  <c r="J50" i="37" s="1"/>
  <c r="G261" i="7"/>
  <c r="AY261" i="7" s="1"/>
  <c r="AQ41" i="37"/>
  <c r="I261" i="7"/>
  <c r="H52" i="37"/>
  <c r="G262" i="7"/>
  <c r="I262" i="7" l="1"/>
  <c r="H53" i="37"/>
  <c r="F5" i="7"/>
  <c r="J52" i="37"/>
  <c r="D7" i="32" l="1"/>
  <c r="G263" i="7"/>
  <c r="P8" i="39"/>
  <c r="R8" i="39" l="1"/>
  <c r="I263" i="7"/>
  <c r="D9" i="32"/>
  <c r="E10" i="32"/>
  <c r="E12" i="32" s="1"/>
  <c r="P47" i="37"/>
  <c r="N46" i="37"/>
  <c r="P46" i="37" s="1"/>
  <c r="N50" i="37" l="1"/>
  <c r="O260" i="7"/>
  <c r="O262" i="7" l="1"/>
  <c r="Q260" i="7"/>
  <c r="N52" i="37"/>
  <c r="P50" i="37"/>
  <c r="N53" i="37" l="1"/>
  <c r="P52" i="37"/>
  <c r="J5" i="7"/>
  <c r="Q262" i="7"/>
  <c r="O263" i="7" l="1"/>
  <c r="F7" i="32"/>
  <c r="P10" i="39"/>
  <c r="F9" i="32" l="1"/>
  <c r="R10" i="39"/>
  <c r="Q263" i="7"/>
  <c r="S47" i="37"/>
  <c r="Q46" i="37"/>
  <c r="S260" i="7" s="1"/>
  <c r="U260" i="7" l="1"/>
  <c r="S262" i="7"/>
  <c r="S46" i="37"/>
  <c r="Q50" i="37"/>
  <c r="S50" i="37" l="1"/>
  <c r="Q52" i="37"/>
  <c r="U262" i="7"/>
  <c r="Q53" i="37" l="1"/>
  <c r="L5" i="7"/>
  <c r="S52" i="37"/>
  <c r="S263" i="7" l="1"/>
  <c r="G7" i="32"/>
  <c r="P11" i="39"/>
  <c r="R11" i="39" l="1"/>
  <c r="G9" i="32"/>
  <c r="U263" i="7"/>
  <c r="V47" i="37"/>
  <c r="W260" i="7"/>
  <c r="T46" i="37"/>
  <c r="V46" i="37" s="1"/>
  <c r="T50" i="37"/>
  <c r="V50" i="37" s="1"/>
  <c r="T52" i="37" l="1"/>
  <c r="W262" i="7"/>
  <c r="Y260" i="7"/>
  <c r="Y262" i="7" l="1"/>
  <c r="V52" i="37"/>
  <c r="T53" i="37"/>
  <c r="N5" i="7"/>
  <c r="H7" i="32" l="1"/>
  <c r="P12" i="39"/>
  <c r="W263" i="7"/>
  <c r="Y263" i="7" l="1"/>
  <c r="R12" i="39"/>
  <c r="H9" i="32"/>
  <c r="H10" i="32"/>
  <c r="H12" i="32" s="1"/>
  <c r="Y47" i="37"/>
  <c r="W46" i="37"/>
  <c r="Y46" i="37" s="1"/>
  <c r="W50" i="37" l="1"/>
  <c r="AA260" i="7"/>
  <c r="AC260" i="7" l="1"/>
  <c r="AA262" i="7"/>
  <c r="Y50" i="37"/>
  <c r="W52" i="37"/>
  <c r="Y52" i="37" l="1"/>
  <c r="W53" i="37"/>
  <c r="P5" i="7"/>
  <c r="AC262" i="7"/>
  <c r="P13" i="39" l="1"/>
  <c r="I7" i="32"/>
  <c r="AA263" i="7"/>
  <c r="I9" i="32" l="1"/>
  <c r="AC263" i="7"/>
  <c r="R13" i="39"/>
  <c r="AB47" i="37"/>
  <c r="AE260" i="7"/>
  <c r="AG260" i="7" s="1"/>
  <c r="Z46" i="37"/>
  <c r="AB46" i="37" s="1"/>
  <c r="Z50" i="37"/>
  <c r="AB50" i="37" s="1"/>
  <c r="Z52" i="37" l="1"/>
  <c r="AE262" i="7"/>
  <c r="Z53" i="37" l="1"/>
  <c r="AB52" i="37"/>
  <c r="R5" i="7"/>
  <c r="AG262" i="7"/>
  <c r="AE263" i="7" l="1"/>
  <c r="P14" i="39"/>
  <c r="J7" i="32"/>
  <c r="J9" i="32" l="1"/>
  <c r="AG263" i="7"/>
  <c r="R14" i="39"/>
  <c r="AE47" i="37"/>
  <c r="AO47" i="37"/>
  <c r="AQ47" i="37" s="1"/>
  <c r="AI260" i="7"/>
  <c r="AK260" i="7" s="1"/>
  <c r="AC46" i="37"/>
  <c r="AE46" i="37" s="1"/>
  <c r="AC50" i="37"/>
  <c r="AE50" i="37" s="1"/>
  <c r="AO46" i="37" l="1"/>
  <c r="AQ46" i="37" s="1"/>
  <c r="AY260" i="7"/>
  <c r="AC52" i="37"/>
  <c r="AI262" i="7"/>
  <c r="AO50" i="37" l="1"/>
  <c r="AO52" i="37" s="1"/>
  <c r="AC53" i="37"/>
  <c r="AE52" i="37"/>
  <c r="T5" i="7"/>
  <c r="AQ50" i="37"/>
  <c r="AK262" i="7"/>
  <c r="AY262" i="7"/>
  <c r="AQ52" i="37" l="1"/>
  <c r="AO53" i="37"/>
  <c r="K7" i="32"/>
  <c r="P15" i="39"/>
  <c r="AB5" i="7"/>
  <c r="AC5" i="7" s="1"/>
  <c r="AI263" i="7"/>
  <c r="K9" i="32" l="1"/>
  <c r="K10" i="32"/>
  <c r="K12" i="32" s="1"/>
  <c r="AK263" i="7"/>
  <c r="AY263" i="7"/>
  <c r="R15" i="39"/>
  <c r="P21" i="39"/>
  <c r="R21" i="39" s="1"/>
</calcChain>
</file>

<file path=xl/comments1.xml><?xml version="1.0" encoding="utf-8"?>
<comments xmlns="http://schemas.openxmlformats.org/spreadsheetml/2006/main">
  <authors>
    <author>ESYMOMETAL</author>
    <author>Juan Antonio</author>
    <author>javier</author>
    <author>Juan Antonio Anguita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 me voy a Facturación, Facturación, listado abc venta clientes.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Gesin, voy a contabilidad, balances, modelos oficiales programables de explotacion y situación, cuenta de resultados: 1 es plan 1990, 10 es plan 2008. pico en el menú de arriba en "B"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el mismo balance abierto anteriormente, tenemos que sumar los gastos de personal y los de trabajos realizados por otras empresas, (son los de adeco) también sirve para obtener los datos de suministros, materias primas y amortización.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Vamos a considerar: otros tributos, otros servicios, serv. Banc. Y simil. Primas de seguros, serv. Prof indptes, y arrendamientos.</t>
        </r>
      </text>
    </comment>
    <comment ref="A26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ACTUALIZAR PROMEDIO MES A MES
</t>
        </r>
      </text>
    </comment>
    <comment ref="A53" authorId="2" shapeId="0">
      <text>
        <r>
          <rPr>
            <b/>
            <sz val="8"/>
            <color indexed="81"/>
            <rFont val="Tahoma"/>
            <family val="2"/>
          </rPr>
          <t>Total de intervenciones técnicas con parada productiva del puesto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0" authorId="3" shapeId="0">
      <text>
        <r>
          <rPr>
            <b/>
            <sz val="9"/>
            <color indexed="81"/>
            <rFont val="Tahoma"/>
            <family val="2"/>
          </rPr>
          <t>54,54 E DE SISTEMAS SAU, S.L.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6302,40 E DE AGROMETALES ANDALUCES S.L.U.</t>
        </r>
      </text>
    </comment>
    <comment ref="K150" authorId="3" shapeId="0">
      <text>
        <r>
          <rPr>
            <b/>
            <sz val="9"/>
            <color indexed="81"/>
            <rFont val="Tahoma"/>
            <family val="2"/>
          </rPr>
          <t>292,85 S.C.A. TECNICOS DE METODOS Y T.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336,58 ROSENBAUER CIANSA S.L.</t>
        </r>
      </text>
    </comment>
    <comment ref="M150" authorId="3" shapeId="0">
      <text>
        <r>
          <rPr>
            <b/>
            <sz val="9"/>
            <color indexed="81"/>
            <rFont val="Tahoma"/>
            <family val="2"/>
          </rPr>
          <t>S.C.A. TECNICOS DE METODOS Y TIEMPOS.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0" authorId="3" shapeId="0">
      <text>
        <r>
          <rPr>
            <b/>
            <sz val="9"/>
            <color indexed="81"/>
            <rFont val="Tahoma"/>
            <charset val="1"/>
          </rPr>
          <t>AGROMETALES ANDALUCES, S.L.U.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0" authorId="3" shapeId="0">
      <text>
        <r>
          <rPr>
            <b/>
            <sz val="9"/>
            <color indexed="81"/>
            <rFont val="Tahoma"/>
            <charset val="1"/>
          </rPr>
          <t>AGROMETAL ANDALUCES,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1" authorId="3" shapeId="0">
      <text>
        <r>
          <rPr>
            <b/>
            <sz val="9"/>
            <color indexed="81"/>
            <rFont val="Tahoma"/>
            <charset val="1"/>
          </rPr>
          <t>MECANIZADOS Y MATRICERIA MATRISUR,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1" authorId="3" shapeId="0">
      <text>
        <r>
          <rPr>
            <b/>
            <sz val="9"/>
            <color indexed="81"/>
            <rFont val="Tahoma"/>
            <charset val="1"/>
          </rPr>
          <t>RIVIMETAL REMOLQUES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3" authorId="3" shapeId="0">
      <text>
        <r>
          <rPr>
            <b/>
            <sz val="9"/>
            <color indexed="81"/>
            <rFont val="Tahoma"/>
            <family val="2"/>
          </rPr>
          <t>42,70  FAVRAM, SOC. COOP. MAD. 
60,54  RODAMIENTOS  LEVANTINOS ROBLES.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3" authorId="3" shapeId="0">
      <text>
        <r>
          <rPr>
            <b/>
            <sz val="9"/>
            <color indexed="81"/>
            <rFont val="Tahoma"/>
            <family val="2"/>
          </rPr>
          <t>71,96 RODAMIENTOS LEVANTINOS ROBLES.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3" authorId="3" shapeId="0">
      <text>
        <r>
          <rPr>
            <b/>
            <sz val="9"/>
            <color indexed="81"/>
            <rFont val="Tahoma"/>
            <charset val="1"/>
          </rPr>
          <t>FAVRAM, SOC.COOP.MAD.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3" authorId="3" shapeId="0">
      <text>
        <r>
          <rPr>
            <b/>
            <sz val="9"/>
            <color indexed="81"/>
            <rFont val="Tahoma"/>
            <charset val="1"/>
          </rPr>
          <t>RODAMIENTOS LEVANTINOS ROBLES Y SAEZ,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2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  <comment ref="A248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</commentList>
</comments>
</file>

<file path=xl/comments10.xml><?xml version="1.0" encoding="utf-8"?>
<comments xmlns="http://schemas.openxmlformats.org/spreadsheetml/2006/main">
  <authors>
    <author>Juan Antonio</author>
    <author>Juan Antonio Anguita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" authorId="1" shapeId="0">
      <text>
        <r>
          <rPr>
            <b/>
            <sz val="11"/>
            <color indexed="81"/>
            <rFont val="Tahoma"/>
            <family val="2"/>
          </rPr>
          <t>Puntuación obtenida en la encuesta de satisfacción de personal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E47" authorId="1" shapeId="0">
      <text>
        <r>
          <rPr>
            <b/>
            <sz val="11"/>
            <color indexed="81"/>
            <rFont val="Tahoma"/>
            <family val="2"/>
          </rPr>
          <t>Incremento/disminución de la satisfacción del personal con respecto al año N-1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Juan Antonio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5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6.xml><?xml version="1.0" encoding="utf-8"?>
<comments xmlns="http://schemas.openxmlformats.org/spreadsheetml/2006/main">
  <authors>
    <author>GESTAMP TOLEDO</author>
  </authors>
  <commentList>
    <comment ref="N7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0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GESTAMP TOLEDO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Al real de cada mes se resta el mes del perupuesto para 2002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JUAN CARLOS GARCIA MORILLAS</author>
  </authors>
  <commentList>
    <comment ref="B9" authorId="0" shapeId="0">
      <text>
        <r>
          <rPr>
            <sz val="8"/>
            <color indexed="81"/>
            <rFont val="Tahoma"/>
            <family val="2"/>
          </rPr>
          <t xml:space="preserve">modificar cada mes suma real + presupuesto meses pendientes
</t>
        </r>
      </text>
    </comment>
  </commentList>
</comments>
</file>

<file path=xl/comments19.xml><?xml version="1.0" encoding="utf-8"?>
<comments xmlns="http://schemas.openxmlformats.org/spreadsheetml/2006/main">
  <authors>
    <author>Juan Antonio Anguita</author>
  </authors>
  <commentList>
    <comment ref="Q13" authorId="0" shapeId="0">
      <text>
        <r>
          <rPr>
            <b/>
            <sz val="9"/>
            <color indexed="81"/>
            <rFont val="Tahoma"/>
            <family val="2"/>
          </rPr>
          <t>Juan Antonio Anguita:</t>
        </r>
        <r>
          <rPr>
            <sz val="9"/>
            <color indexed="81"/>
            <rFont val="Tahoma"/>
            <family val="2"/>
          </rPr>
          <t xml:space="preserve">
Del 07/04/2013 hasta …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>Juan Antonio Anguita:</t>
        </r>
        <r>
          <rPr>
            <sz val="9"/>
            <color indexed="81"/>
            <rFont val="Tahoma"/>
            <family val="2"/>
          </rPr>
          <t xml:space="preserve">
Del 05/03/2013 al 31/03/2013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Esta es la parte de julio que corresponde de Manuel Jesús Conde Arjona, que solo ha trabajado 4 días.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C24" authorId="0" shapeId="0">
      <text>
        <r>
          <rPr>
            <b/>
            <sz val="11"/>
            <color indexed="81"/>
            <rFont val="Tahoma"/>
            <family val="2"/>
          </rPr>
          <t>Porcentaje de los gastos de personal sobre el total de ventas del periodo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5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6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7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82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0" authorId="1" shapeId="0">
      <text>
        <r>
          <rPr>
            <sz val="11"/>
            <color indexed="81"/>
            <rFont val="Tahoma"/>
            <family val="2"/>
          </rPr>
          <t>Porcentaje de reducción de costes como consecuencia de la implantación eficaz de mejoras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4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5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69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6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5" authorId="1" shapeId="0">
      <text>
        <r>
          <rPr>
            <sz val="11"/>
            <color indexed="81"/>
            <rFont val="Tahoma"/>
            <family val="2"/>
          </rPr>
          <t>Mejoras implantadas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  <comment ref="D107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2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</commentList>
</comments>
</file>

<file path=xl/comments6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7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8.xml><?xml version="1.0" encoding="utf-8"?>
<comments xmlns="http://schemas.openxmlformats.org/spreadsheetml/2006/main">
  <authors>
    <author>RAFAEL SORIANO</author>
    <author>Javier Navarro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4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52" authorId="1" shapeId="0">
      <text>
        <r>
          <rPr>
            <b/>
            <sz val="9"/>
            <color indexed="81"/>
            <rFont val="Tahoma"/>
            <family val="2"/>
          </rPr>
          <t xml:space="preserve">Máquina con un valor superior a 10 órdenes </t>
        </r>
      </text>
    </comment>
    <comment ref="E6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comments9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 INTERVENCIONES CORRECTIVAS/NUMERO DE MAQUINAS
(TRIMESTRAL MAXIMO 0'75)
</t>
        </r>
      </text>
    </comment>
    <comment ref="E4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sharedStrings.xml><?xml version="1.0" encoding="utf-8"?>
<sst xmlns="http://schemas.openxmlformats.org/spreadsheetml/2006/main" count="4512" uniqueCount="1128">
  <si>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</si>
  <si>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</si>
  <si>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</si>
  <si>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</si>
  <si>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</si>
  <si>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</si>
  <si>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</si>
  <si>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</si>
  <si>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</si>
  <si>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</si>
  <si>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</si>
  <si>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</si>
  <si>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ESYMO</t>
  </si>
  <si>
    <t>ADECCO</t>
  </si>
  <si>
    <t>COOP.MUJERES</t>
  </si>
  <si>
    <t>SERINTCAST</t>
  </si>
  <si>
    <t>INTEGRASUR</t>
  </si>
  <si>
    <t>DIFERENCIA</t>
  </si>
  <si>
    <t>NIVEL DE ABSENTISMO</t>
  </si>
  <si>
    <t>PERSONAL DE ESTRUCTURA</t>
  </si>
  <si>
    <t>NIVEL REF.INDICADOR</t>
  </si>
  <si>
    <t>TOTAL PERSONAL</t>
  </si>
  <si>
    <t>TOTAL ESTRUCTURA</t>
  </si>
  <si>
    <t>PERSONAL INDEFINIDO</t>
  </si>
  <si>
    <t>TOTAL INDEFINIDO</t>
  </si>
  <si>
    <t>ACCIDENTES LEVES CON BAJA MEDICA</t>
  </si>
  <si>
    <t>TOTAL ACCIDENTES LEVES</t>
  </si>
  <si>
    <t>TOTAL INDICADOR</t>
  </si>
  <si>
    <t>ACCIDENTES GRAVES</t>
  </si>
  <si>
    <t>ESTRUCTURA</t>
  </si>
  <si>
    <t>INDEFINIDOS</t>
  </si>
  <si>
    <t>EVALUACION DE PROVEEDORES (CALIDAD)</t>
  </si>
  <si>
    <t>EVALUACION PERIODICA DE PROVEEDORES APROBADOS (ENTREGAS)</t>
  </si>
  <si>
    <t>EVALUACION PERIODICA DCE PROVEEDORES APROBADOS (CALIDAD)</t>
  </si>
  <si>
    <t>EVALUACION DE PROVEEDORES (ENTREGAS)</t>
  </si>
  <si>
    <t>EFICACIA DE COMPRAS</t>
  </si>
  <si>
    <t>TOTAL SUMINISTROS</t>
  </si>
  <si>
    <t>TOTAL MATERIA PRIMA</t>
  </si>
  <si>
    <t>TOTAL FACTURACION</t>
  </si>
  <si>
    <t>RENTABILIDAD DE NEGOCIO</t>
  </si>
  <si>
    <t>BENEFICIO A. IMPUESTOS</t>
  </si>
  <si>
    <t>FACTURACION MES</t>
  </si>
  <si>
    <t>TENDENCIA DE FUTURO EN LA EVOLUCION DEL RESULTADO ECONOMICO</t>
  </si>
  <si>
    <t>AMORTIZACIONES</t>
  </si>
  <si>
    <t>CRECIMIENTO DE VENTAS</t>
  </si>
  <si>
    <t>TOTAL VENTAS MES</t>
  </si>
  <si>
    <t>TOTAL VENTAS MES N-1</t>
  </si>
  <si>
    <t>DIVERSIFICACION DE CARTERA</t>
  </si>
  <si>
    <t>SATISFACCION GLOBAL DEL CLIENTE</t>
  </si>
  <si>
    <t>TOTAL</t>
  </si>
  <si>
    <t>RENTABILIDAD</t>
  </si>
  <si>
    <t>Nº SUGERENCIAS PRESENTADAS</t>
  </si>
  <si>
    <t>CRECIMIENTO  VENTAS</t>
  </si>
  <si>
    <t>SATISFACCION GLOBAL DE CLIENTE</t>
  </si>
  <si>
    <t>NUMERO DE SUGERENCIAS PRESENTADAS</t>
  </si>
  <si>
    <t>FACTURACION MEDIA OPERARIO</t>
  </si>
  <si>
    <t>DIAS LABORABLES MES</t>
  </si>
  <si>
    <t>MANO OBRA DIRECTA</t>
  </si>
  <si>
    <t>MEJORA DEL PRESUPUESTO DE LA PRODUCCION</t>
  </si>
  <si>
    <t>FACTURACION MEDIA OPERARIO (MOD)</t>
  </si>
  <si>
    <t>SUMINISTROS</t>
  </si>
  <si>
    <t>MATERIA PRIMA</t>
  </si>
  <si>
    <t>COSTE MANO OBRA</t>
  </si>
  <si>
    <t>TOTAL VENTAS</t>
  </si>
  <si>
    <t>RECHAZOS INTERNOS (PPM'S)</t>
  </si>
  <si>
    <t>RECHAZOS EXTERNOS (PPM'S)</t>
  </si>
  <si>
    <t>COSTE DE NO CALIDAD</t>
  </si>
  <si>
    <t>COSTE NO CALIDAD</t>
  </si>
  <si>
    <t>INCIDENTES CON CONSECUENCIA DE DESPLAZAMIENTO A INSTALACIONES DE CLIENTES</t>
  </si>
  <si>
    <t>INCIDENTES EN EL MES</t>
  </si>
  <si>
    <t>MEDIA DE INTERVENCIONES CORRECTIVAS POR MAQUINA</t>
  </si>
  <si>
    <t>INTERVENCIONES CON PARADA</t>
  </si>
  <si>
    <t>RESULTADO MENSUAL</t>
  </si>
  <si>
    <t>RESULTADO MES</t>
  </si>
  <si>
    <t>NIVEL REFERENCIA MES</t>
  </si>
  <si>
    <t xml:space="preserve">TOTAL ABSENTISMO </t>
  </si>
  <si>
    <t xml:space="preserve">ABSENTISMO PERSONAL  ESYMO </t>
  </si>
  <si>
    <t>ABSENTISMO PERSONAL ADECCO</t>
  </si>
  <si>
    <t xml:space="preserve"> ABSENTISMO PERSONAL CCOP.MUJERES-SERINTCAST-INTEGRASUR</t>
  </si>
  <si>
    <t>INTERVENCIONES MES</t>
  </si>
  <si>
    <t>NUMERO DE MAQUINAS</t>
  </si>
  <si>
    <t>DOCUMENTO</t>
  </si>
  <si>
    <t>PE1R1</t>
  </si>
  <si>
    <t>PROPIETARIO</t>
  </si>
  <si>
    <t>Miguel A. de la Torre</t>
  </si>
  <si>
    <t>FECHA</t>
  </si>
  <si>
    <t>REV.</t>
  </si>
  <si>
    <t>INDICADOR</t>
  </si>
  <si>
    <t>PROCESO</t>
  </si>
  <si>
    <t>NIVEL REF.</t>
  </si>
  <si>
    <t>EVALUACION</t>
  </si>
  <si>
    <t>PE1</t>
  </si>
  <si>
    <t>MATG</t>
  </si>
  <si>
    <t>Trimestral</t>
  </si>
  <si>
    <t>Tendencia en la evolucion del Rtdo. Econ</t>
  </si>
  <si>
    <t>PE2</t>
  </si>
  <si>
    <t>Crecimiento de ventas</t>
  </si>
  <si>
    <t>PC1</t>
  </si>
  <si>
    <t>Mensual</t>
  </si>
  <si>
    <t>Personal de Estructura</t>
  </si>
  <si>
    <t>PA3</t>
  </si>
  <si>
    <t>RSB</t>
  </si>
  <si>
    <t>Personal indefinido</t>
  </si>
  <si>
    <t>Accidentes leves con baja medica</t>
  </si>
  <si>
    <t>Accidentes graves</t>
  </si>
  <si>
    <t>Nivel de absentismo</t>
  </si>
  <si>
    <t>Evaluacion de proveedores (Calidad)</t>
  </si>
  <si>
    <t>PA2</t>
  </si>
  <si>
    <t>Evaluacion de proveedores (Suministros)</t>
  </si>
  <si>
    <t>Facturación media operario (MOD)</t>
  </si>
  <si>
    <t>JCC</t>
  </si>
  <si>
    <t>Mejora del presupuesto para la produccion</t>
  </si>
  <si>
    <t>PC3</t>
  </si>
  <si>
    <t>Rechazos internos (PPM´S)</t>
  </si>
  <si>
    <t>PA5</t>
  </si>
  <si>
    <t>JNL</t>
  </si>
  <si>
    <t>Rechazos externos (PPM¨S)</t>
  </si>
  <si>
    <t>Costes de no calidad</t>
  </si>
  <si>
    <t>1/Trim</t>
  </si>
  <si>
    <t>Semestral</t>
  </si>
  <si>
    <t>PA4</t>
  </si>
  <si>
    <t>Intervenciones con parada</t>
  </si>
  <si>
    <t>Satisfacción global del cliente</t>
  </si>
  <si>
    <t>PC6</t>
  </si>
  <si>
    <t>Anual</t>
  </si>
  <si>
    <t xml:space="preserve">Rentabilidad de negocio </t>
  </si>
  <si>
    <t>UNIVERSIDAD BECAS</t>
  </si>
  <si>
    <t>Datos Económicos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</si>
  <si>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</si>
  <si>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</si>
  <si>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</si>
  <si>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</si>
  <si>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</si>
  <si>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</si>
  <si>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</si>
  <si>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</si>
  <si>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</si>
  <si>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</si>
  <si>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</si>
  <si>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</si>
  <si>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</si>
  <si>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Datos RR.HH.</t>
  </si>
  <si>
    <t>Fijos</t>
  </si>
  <si>
    <t>Eventuales</t>
  </si>
  <si>
    <t>E.T.T.</t>
  </si>
  <si>
    <t>Leves</t>
  </si>
  <si>
    <t>Graves</t>
  </si>
  <si>
    <t>Desglose Facturación</t>
  </si>
  <si>
    <t>DATOS DE PERSONAL</t>
  </si>
  <si>
    <t>DATOS DE PRODUCTIVIDAD</t>
  </si>
  <si>
    <t>M.O.D.</t>
  </si>
  <si>
    <t>M.O.I.</t>
  </si>
  <si>
    <t>M.O.E.</t>
  </si>
  <si>
    <t>GASTOS DE PERSONAL</t>
  </si>
  <si>
    <t>PRODUCTIVIDAD X M.O.D.</t>
  </si>
  <si>
    <t>PROD. X M.O.D + I.</t>
  </si>
  <si>
    <t>PROD. X TRABAJADOR</t>
  </si>
  <si>
    <t>MEDIA ANUAL</t>
  </si>
  <si>
    <t>TOTAL AÑO</t>
  </si>
  <si>
    <t>IMPORTE EN EUROS POR OPERARIO Y DIA LABORABLE DEL MES</t>
  </si>
  <si>
    <t>DIAS</t>
  </si>
  <si>
    <t>FACTURACION X DIA LABORABLE</t>
  </si>
  <si>
    <t>TOTAL FACTURADO</t>
  </si>
  <si>
    <t>% RESULTADO S/FACTURACION</t>
  </si>
  <si>
    <t>PROMEDIO AÑO</t>
  </si>
  <si>
    <t xml:space="preserve"> </t>
  </si>
  <si>
    <t>TALL.CORRAL MECANIZADOS, S.L.</t>
  </si>
  <si>
    <t>SOLARCAR, S.A.L.</t>
  </si>
  <si>
    <t>PROTOTIPOS Y UT. MARTEÑOS, S.L.</t>
  </si>
  <si>
    <t>PERFILES Y DERIVASDOS ANDALUCES, S.L.</t>
  </si>
  <si>
    <t>FAESA</t>
  </si>
  <si>
    <t>URANO INDUSTRIAL ELECTR.</t>
  </si>
  <si>
    <t>FORJAS Y ESTAMP. JIENNENSES</t>
  </si>
  <si>
    <t>EXPORT AGRICOLA, S.L.</t>
  </si>
  <si>
    <t>GES ANDALUCIA, S.L.</t>
  </si>
  <si>
    <t>EXNI</t>
  </si>
  <si>
    <t>DOYMA, S.L.</t>
  </si>
  <si>
    <t>FON-MAR, S.A.</t>
  </si>
  <si>
    <t>GOMOLAN, S.A.L.</t>
  </si>
  <si>
    <t>FUMAPA, S.L.</t>
  </si>
  <si>
    <t>MECANIZADOS MECASANZ</t>
  </si>
  <si>
    <t>RUEDAGUA, S.L.</t>
  </si>
  <si>
    <t>D.C.C., S.L.</t>
  </si>
  <si>
    <t>ARTE Y FORJA, S.L.</t>
  </si>
  <si>
    <t>TOTAL ANUAL</t>
  </si>
  <si>
    <t>DATOS  DE VENTAS SEGÚN FACTURACION</t>
  </si>
  <si>
    <t>% S/FACTURACION POR CLIENTES</t>
  </si>
  <si>
    <t>PROMEDIO</t>
  </si>
  <si>
    <t>TOTALES</t>
  </si>
  <si>
    <t>Moneda en Euros</t>
  </si>
  <si>
    <t>MESES</t>
  </si>
  <si>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</si>
  <si>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</si>
  <si>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</si>
  <si>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</si>
  <si>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</si>
  <si>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</si>
  <si>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</si>
  <si>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</si>
  <si>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</si>
  <si>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</si>
  <si>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PRESU REVISADO 05</t>
  </si>
  <si>
    <t>%INCREM REAL/PRESUP.</t>
  </si>
  <si>
    <t>JUL</t>
  </si>
  <si>
    <t>AGO</t>
  </si>
  <si>
    <t>PRESU REVISADO 06</t>
  </si>
  <si>
    <t>%INCREM REAL/PRES.</t>
  </si>
  <si>
    <t>COMENTARIOS</t>
  </si>
  <si>
    <t>HOJA: COMPARACION ACUMULADA DEVENTAS</t>
  </si>
  <si>
    <t>Cambiar cada mes el acumulado real, para que sea el real hasta ese mes más el presupuesto del resto de meses</t>
  </si>
  <si>
    <t>y también el proyectado</t>
  </si>
  <si>
    <t>HOJA: VENTA POR GRUPO DE CLIENTES</t>
  </si>
  <si>
    <t>Corregir si es necesario días de cada mes y suma final para hacer la media acumulada según días trabajados en el año.</t>
  </si>
  <si>
    <t>Corregir gráficos</t>
  </si>
  <si>
    <t>CLIENTES</t>
  </si>
  <si>
    <t>%</t>
  </si>
  <si>
    <t>GESTAMP LINARES S.A.</t>
  </si>
  <si>
    <t>CLIENTES LINARES</t>
  </si>
  <si>
    <t>CLIENTES PROVINCIA</t>
  </si>
  <si>
    <t>CLIENTES ANDALUCIA</t>
  </si>
  <si>
    <t>CLIENTES NACIONAL</t>
  </si>
  <si>
    <t xml:space="preserve">TOTAL </t>
  </si>
  <si>
    <t>Descripción</t>
  </si>
  <si>
    <t>PROMEDIO DE FACTURACIÓN POR DÍA DE TRABAJO</t>
  </si>
  <si>
    <t>Real 2008 facturación / día</t>
  </si>
  <si>
    <t>Euros/día</t>
  </si>
  <si>
    <t xml:space="preserve">ESYMO METAL, S.L. </t>
  </si>
  <si>
    <t>PRES.</t>
  </si>
  <si>
    <t>REAL</t>
  </si>
  <si>
    <t>Mano de obra directa. MOD</t>
  </si>
  <si>
    <t>Mano de obra indirecta. MOI</t>
  </si>
  <si>
    <t>Mano de obra estructura. MOE</t>
  </si>
  <si>
    <t>Total</t>
  </si>
  <si>
    <t>ETT's</t>
  </si>
  <si>
    <t>MIGUEL A. DE LA TORRE</t>
  </si>
  <si>
    <t>JESUS TOMAS COLMENERO CASTILLO</t>
  </si>
  <si>
    <t>PRODUCCION</t>
  </si>
  <si>
    <t>RAFAEL SORIANO BOLIVAR</t>
  </si>
  <si>
    <t>JOSE LARA ESPEJO</t>
  </si>
  <si>
    <t>LOGISTICA</t>
  </si>
  <si>
    <t>INMACULADA MARTIN RODRIGUEZ</t>
  </si>
  <si>
    <t>JAVIER NAVARRO LOPEZ</t>
  </si>
  <si>
    <t>CALIDAD</t>
  </si>
  <si>
    <t>MONTSERRAT DE LA TORRE GARCIA</t>
  </si>
  <si>
    <t>EDINSON VILLA TELLO</t>
  </si>
  <si>
    <t>MANTENIMIENTO</t>
  </si>
  <si>
    <t>ANTONIO JESUS MOLINA MURO</t>
  </si>
  <si>
    <t>CARRETILLERO/CAMION.</t>
  </si>
  <si>
    <t>PROVEEDORES APROBADOS</t>
  </si>
  <si>
    <t>ANUAL</t>
  </si>
  <si>
    <t>ENTREGAS</t>
  </si>
  <si>
    <t>PPG IBÉRICA SALES &amp; SERVICE, S.L.</t>
  </si>
  <si>
    <t>A</t>
  </si>
  <si>
    <t>AKZO NOBEL INDUSTRIAL PAINTS, S.L.</t>
  </si>
  <si>
    <t>NABER RECUBRIMIENTOS EN POLVO, S.L.</t>
  </si>
  <si>
    <t>HENKEL IBÉRICA, S.A.</t>
  </si>
  <si>
    <t>SIKA, S.A.</t>
  </si>
  <si>
    <t>KOCH CHENICAL THECHNOLOGY GROUP LTD.</t>
  </si>
  <si>
    <t>CONIEX, S.A.</t>
  </si>
  <si>
    <t>PLÁSTICOS INDUSTRIALES DEL SUR, S.L.</t>
  </si>
  <si>
    <t>ICT FILTRACIÓN, S.L.</t>
  </si>
  <si>
    <t>FILTRONA PLÁSTICOS, S.A.U.</t>
  </si>
  <si>
    <t>HERMANOS BLANCO BARRENA, S.A.</t>
  </si>
  <si>
    <t>RIVIMETAL REMOLQUES, S.L.</t>
  </si>
  <si>
    <t>FERRETERÍA UNCETA, S.A.</t>
  </si>
  <si>
    <t>KLUBER LUBRICACIÓN GMBH IBÉRICA, S. EN C.</t>
  </si>
  <si>
    <t>LUMAQUIN, S.A.</t>
  </si>
  <si>
    <t>SISTEMAS DE APLICACIÓN Y RECUBRIMIENTOS TÉCNICOS, S.A.</t>
  </si>
  <si>
    <t>SGS BOMBAS, S.L.</t>
  </si>
  <si>
    <t>NABER PINTURAS Y BARNICES, S.L.</t>
  </si>
  <si>
    <t>MASCARAS Y SISTEMAS DE PROTECCIÓN, S.L.</t>
  </si>
  <si>
    <t>TIPO A</t>
  </si>
  <si>
    <t>≥ 75</t>
  </si>
  <si>
    <t xml:space="preserve">TOTAL PROVEEDORES APROBADOS </t>
  </si>
  <si>
    <t>INDICADORES</t>
  </si>
  <si>
    <t>ACUMULAD AÑO</t>
  </si>
  <si>
    <t>Nº SUGERENCIAS MES</t>
  </si>
  <si>
    <t>TCM NATURALIA S.L.</t>
  </si>
  <si>
    <t>TOTAL MESES</t>
  </si>
  <si>
    <t>FABRICADOS DE BLODER S.L.</t>
  </si>
  <si>
    <t>COMP. Y ESTAMP. DEL SUR</t>
  </si>
  <si>
    <t>Esymo</t>
  </si>
  <si>
    <t>Integrasur</t>
  </si>
  <si>
    <t>BENEFICIO ANTES DE IMPUESTOS</t>
  </si>
  <si>
    <t>IMPORTE TOTAL GTOS PERSONAL</t>
  </si>
  <si>
    <t>EVOLUCIÓN PERIOD. DE PROVEED.</t>
  </si>
  <si>
    <t>TOTAL MATERIAS PRIMAS</t>
  </si>
  <si>
    <t>TOTAL AMORTIZACIÓN</t>
  </si>
  <si>
    <t>TOTAL GTOS REPAR. Y CONSERV.</t>
  </si>
  <si>
    <t>TOTAL GTOS OTROS APROVISION.</t>
  </si>
  <si>
    <t>DIAS TRABAJADOS EN EL MES</t>
  </si>
  <si>
    <t>TOTAL MANO DE OBRA DIRECTA</t>
  </si>
  <si>
    <t>TOTAL MANO DE OBRA</t>
  </si>
  <si>
    <t>EVOLUCION DEL PERSONAL</t>
  </si>
  <si>
    <t>LISTADO DE ABSENTISMO</t>
  </si>
  <si>
    <t>Nº ACCIDENTES DE TRABAJO</t>
  </si>
  <si>
    <r>
      <t xml:space="preserve">144 FAESA. </t>
    </r>
    <r>
      <rPr>
        <b/>
        <sz val="14"/>
        <color rgb="FF00FF00"/>
        <rFont val="Calibri"/>
        <family val="2"/>
        <scheme val="minor"/>
      </rPr>
      <t>(A)</t>
    </r>
  </si>
  <si>
    <t>Calidad</t>
  </si>
  <si>
    <t>Entregas</t>
  </si>
  <si>
    <t>COSTE DE PRODUCCION POR DIA LABORABLE</t>
  </si>
  <si>
    <t xml:space="preserve">TIPO A </t>
  </si>
  <si>
    <t>≥ 75%</t>
  </si>
  <si>
    <t>MARGEN BRUTO</t>
  </si>
  <si>
    <t>Porcentaje</t>
  </si>
  <si>
    <t>TALLERES FABIO MURGA, S.A.</t>
  </si>
  <si>
    <t>Total mes</t>
  </si>
  <si>
    <t>Total trimestre</t>
  </si>
  <si>
    <t>TOTAL FACTURACIÓN REAL MES</t>
  </si>
  <si>
    <t>OTROS DATOS DE DESGLOSE FACTURACIÓN</t>
  </si>
  <si>
    <t>DEVOLUCIONES DE VENTAS</t>
  </si>
  <si>
    <t>OTROS INGRESOS</t>
  </si>
  <si>
    <t>TOTAL INGRESOS</t>
  </si>
  <si>
    <t>CONSUMOS PRODUCCION</t>
  </si>
  <si>
    <t>PERSONAL</t>
  </si>
  <si>
    <t>AMORTIZACION NETA</t>
  </si>
  <si>
    <t>REPARACIONES</t>
  </si>
  <si>
    <t>GASTOS DE ESTRUCTURA</t>
  </si>
  <si>
    <t>GASTOS DE VIAJE</t>
  </si>
  <si>
    <t>INEFICACIAS</t>
  </si>
  <si>
    <t>EBIT DE PRODUCCION</t>
  </si>
  <si>
    <t>CONSUMOS PRODUCCIÓN</t>
  </si>
  <si>
    <t>Materias primas</t>
  </si>
  <si>
    <t>Otros Aprovisionamientos</t>
  </si>
  <si>
    <t>Transportes</t>
  </si>
  <si>
    <t xml:space="preserve">TOTAL CONSUMOS PRODUCCIÓN </t>
  </si>
  <si>
    <t>DATOS EXPLOTACIÓN</t>
  </si>
  <si>
    <t>AMORTIZACIÓN NETA</t>
  </si>
  <si>
    <t>REPARACIÓN Y CONSERVACIÓN</t>
  </si>
  <si>
    <t>EBIT DE PRODUCCIÓN</t>
  </si>
  <si>
    <t>TOTAL SUBVENCIÓN TRASPASADA</t>
  </si>
  <si>
    <t>TOTAL PUBLICIDAD PROPAGANDA Y RR.PP</t>
  </si>
  <si>
    <t>TOTAL GASTOS ESTRUCTURA</t>
  </si>
  <si>
    <t>TOTAL TRANSPORTES</t>
  </si>
  <si>
    <t>GASTOS FINANACIEROS</t>
  </si>
  <si>
    <t>INGRESOS FINANCIEROS</t>
  </si>
  <si>
    <t>GASTOS EXTRAORDINARIOS</t>
  </si>
  <si>
    <t>RESULTADO FINANCIERO</t>
  </si>
  <si>
    <t>TIPO</t>
  </si>
  <si>
    <t>Eficacia</t>
  </si>
  <si>
    <t>Eficiencia</t>
  </si>
  <si>
    <t>Personal sobre ventas</t>
  </si>
  <si>
    <t>Nº de sugerencias mejoradas/presentadas</t>
  </si>
  <si>
    <t>Nº de sugerencias/mejoradas implantadas</t>
  </si>
  <si>
    <t>Diversificación de la cartera de clientes</t>
  </si>
  <si>
    <t>Pérdida de horas por O. Recuperacion</t>
  </si>
  <si>
    <t>PC2</t>
  </si>
  <si>
    <t>Comparación planificado/fabricado</t>
  </si>
  <si>
    <t>Rendimiento por sección</t>
  </si>
  <si>
    <t>Rendimiento por operario</t>
  </si>
  <si>
    <t>Horas improductivas</t>
  </si>
  <si>
    <t>PC4</t>
  </si>
  <si>
    <t>Transportes urgentes</t>
  </si>
  <si>
    <t>Cumplimiento plazos facturación clientes</t>
  </si>
  <si>
    <t>PC5</t>
  </si>
  <si>
    <t>mas 2 días laborables 15/30</t>
  </si>
  <si>
    <t>Numero de atributos insatisfactorios</t>
  </si>
  <si>
    <t>Control de entregas urgentes</t>
  </si>
  <si>
    <t>Mantenimiento de costes de las compras</t>
  </si>
  <si>
    <t>Cumplimiento del plan anual de audiorias</t>
  </si>
  <si>
    <t>PA1</t>
  </si>
  <si>
    <t>Porcentaje de acciones fuera de plazo</t>
  </si>
  <si>
    <t>Nº de intervenciones de manten. Correctivo por máq.</t>
  </si>
  <si>
    <t>Número de calibraciones fuera de fecha</t>
  </si>
  <si>
    <t>PA6</t>
  </si>
  <si>
    <t>Incidentes con cons. Desplazamiento a instalac. Cliente</t>
  </si>
  <si>
    <t>Nº horas de parada product. Por manten correctivos y máq.</t>
  </si>
  <si>
    <t>CUMPLIMIENTO DEL PLAN ANUAL DE AUDITORIAS</t>
  </si>
  <si>
    <t>PORCENTAJE DE ACCIONES FUERA DE PLAZO</t>
  </si>
  <si>
    <t>NUMERO DE CALIBRACIONES FUERA DE FECHA</t>
  </si>
  <si>
    <t>Nº HORAS DE PARADA PRODUCT. POR MANTENIMIENTO CORRECTIVOS Y MÁQUINAS.</t>
  </si>
  <si>
    <t>DATOS PRODUCCIÓN</t>
  </si>
  <si>
    <t>RENDIMIENTO POR SECCIÓN</t>
  </si>
  <si>
    <t>HORAS IMPRODUCTIVAS</t>
  </si>
  <si>
    <t>CONTROL ENTREGAS URGENTES</t>
  </si>
  <si>
    <t>TRANSPORTES URGENTES</t>
  </si>
  <si>
    <t>FACTURACIÓN  MES</t>
  </si>
  <si>
    <t>FACTURACIÓN GESTAMP</t>
  </si>
  <si>
    <t xml:space="preserve">RESULTADO MES </t>
  </si>
  <si>
    <t>EXPRESO LINARES S.L.U.</t>
  </si>
  <si>
    <t>DATOS CALIDAD/MANTENIMIENTO.</t>
  </si>
  <si>
    <t>PERDIDA DE HORAS POR ORDENES DE RECUPERACIÓN</t>
  </si>
  <si>
    <t>PERDIDAS DE HORAS POR ORDENES DE RECUPERACIÓN</t>
  </si>
  <si>
    <t>TOTAL MANO DE OBRA INDIRECTA</t>
  </si>
  <si>
    <t>PORCENTAJE HORAS IMPRODUCTIVAS</t>
  </si>
  <si>
    <t>PORCENTAJE CONTROL ENTREGAS</t>
  </si>
  <si>
    <t>NIVEL REFERENCIA INDICADOR</t>
  </si>
  <si>
    <t>CUMPLIMIENTO PLAN ANUAL DE AUDITORIAS</t>
  </si>
  <si>
    <t>PORCENTAJE ACCIONES FUERA DE PLAZO</t>
  </si>
  <si>
    <t>Nº CALIBRACIONES FUERA DE FECHA</t>
  </si>
  <si>
    <t>% ACCIONES FUERA DE PLAZO</t>
  </si>
  <si>
    <t>Nº DE HORAS DE PARADA PRODUCTIVA POR MANTENMTOS CORRECTIVOS Y MAQUINA</t>
  </si>
  <si>
    <t>NºHORAS PARADA PRDTVA. POR MANTENMTOS CORRECTIVOS Y MAQ.</t>
  </si>
  <si>
    <t>Nº HORAS DE PARADA PRODUCTIVA POR MANTENIMIENTOS CORRECTIVOS Y MAQUINA</t>
  </si>
  <si>
    <t>NUMERO DE SUGERENCIAS IMPLANTADAS</t>
  </si>
  <si>
    <t>Nº SUGERENCIAS IMPLANTADAS</t>
  </si>
  <si>
    <t>DATOS MATG</t>
  </si>
  <si>
    <t>Nº ATRIBUTOS INSATISFACTORIOS</t>
  </si>
  <si>
    <t>Nº DE HORAS CON PARADA</t>
  </si>
  <si>
    <t>CUMPLIMIENTO PLAZOS FACTURACIÓN CLIENTES</t>
  </si>
  <si>
    <t>1ª QUINCENA</t>
  </si>
  <si>
    <t>2ª QUINCENA</t>
  </si>
  <si>
    <t>NIVEL REF.INDICADOR (DIAS)</t>
  </si>
  <si>
    <t>DIFERENCIA 1ª QUINCENA</t>
  </si>
  <si>
    <t>DIFERENCIA 2ª QUINCENA</t>
  </si>
  <si>
    <t>NUMERO DE  HORAS</t>
  </si>
  <si>
    <t>NUMERO DE TRANSPORTES URGENTES</t>
  </si>
  <si>
    <t>CONTROL DE ENTREGAS URGENTES</t>
  </si>
  <si>
    <t>INTERVENCIONES CORRECTIVAS POR MÁQUINA</t>
  </si>
  <si>
    <t>Nº DE MÁQUINAS</t>
  </si>
  <si>
    <t>Efiacacia</t>
  </si>
  <si>
    <t>RENDIMIENTO  SECCIÓN</t>
  </si>
  <si>
    <r>
      <t xml:space="preserve">OTROS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</si>
  <si>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</si>
  <si>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OTROS </t>
    </r>
    <r>
      <rPr>
        <b/>
        <sz val="14"/>
        <color rgb="FF66FF33"/>
        <rFont val="Calibri"/>
        <family val="2"/>
        <scheme val="minor"/>
      </rPr>
      <t>(A)</t>
    </r>
  </si>
  <si>
    <t>OTROS (LOCALES)</t>
  </si>
  <si>
    <t>OTROS (PROVINCIALES)</t>
  </si>
  <si>
    <t>OTROS (AUTONOMICOS)</t>
  </si>
  <si>
    <t xml:space="preserve">JUNIO </t>
  </si>
  <si>
    <t xml:space="preserve"> DICIEMBRE</t>
  </si>
  <si>
    <t>JUAN ANTONIO ANGUITA RUANO</t>
  </si>
  <si>
    <t xml:space="preserve">GASTOS E INGRESOS FINANCIEROS </t>
  </si>
  <si>
    <t>TOTAL MANO OBRA ESTRUCTURA</t>
  </si>
  <si>
    <t>PINTURAS GARLEY</t>
  </si>
  <si>
    <t>BEHUUEMAR TUCCITANA</t>
  </si>
  <si>
    <t>CLARTON HORN</t>
  </si>
  <si>
    <t>Cuenta</t>
  </si>
  <si>
    <t>Debe ejerc. actual</t>
  </si>
  <si>
    <t>Haber ejerc. actual</t>
  </si>
  <si>
    <t>Debe Enero</t>
  </si>
  <si>
    <t>Haber Enero</t>
  </si>
  <si>
    <t>Debe Febrero</t>
  </si>
  <si>
    <t>Haber Febrero</t>
  </si>
  <si>
    <t>Debe Marzo</t>
  </si>
  <si>
    <t>Haber Marzo</t>
  </si>
  <si>
    <t>Debe Abril</t>
  </si>
  <si>
    <t>Haber Abril</t>
  </si>
  <si>
    <t>Debe Mayo</t>
  </si>
  <si>
    <t>Haber Mayo</t>
  </si>
  <si>
    <t>Debe Junio</t>
  </si>
  <si>
    <t>Haber Junio</t>
  </si>
  <si>
    <t>Debe Julio</t>
  </si>
  <si>
    <t>Haber Julio</t>
  </si>
  <si>
    <t>Debe Agosto</t>
  </si>
  <si>
    <t>Haber Agosto</t>
  </si>
  <si>
    <t>Debe Septiembre</t>
  </si>
  <si>
    <t>Haber Septiembre</t>
  </si>
  <si>
    <t>Debe Octubre</t>
  </si>
  <si>
    <t>Haber Octubre</t>
  </si>
  <si>
    <t>Debe Noviembre</t>
  </si>
  <si>
    <t>Haber Noviembre</t>
  </si>
  <si>
    <t>Debe Diciembre</t>
  </si>
  <si>
    <t>Haber Diciembre</t>
  </si>
  <si>
    <t>6010000</t>
  </si>
  <si>
    <t>COMPRA DE MATERIAS PRIMAS</t>
  </si>
  <si>
    <t>6020000</t>
  </si>
  <si>
    <t>COMPRA DE OTROS APROVISONAMIEN</t>
  </si>
  <si>
    <t>6070000</t>
  </si>
  <si>
    <t>6210001</t>
  </si>
  <si>
    <t>ARRENDAMIENTO NAVE INDUSTRIAL</t>
  </si>
  <si>
    <t>6210004</t>
  </si>
  <si>
    <t>ALQUILER CONTENEDOR</t>
  </si>
  <si>
    <t>6210006</t>
  </si>
  <si>
    <t>ARRENDAMIENTO RENTING SIEMENS</t>
  </si>
  <si>
    <t>6220001</t>
  </si>
  <si>
    <t>REPARACION DE NAVE</t>
  </si>
  <si>
    <t>6220002</t>
  </si>
  <si>
    <t>REPARACION DE VEHICULOS</t>
  </si>
  <si>
    <t>6220003</t>
  </si>
  <si>
    <t>REPARACION MAQUINAS</t>
  </si>
  <si>
    <t>6220004</t>
  </si>
  <si>
    <t>REPARACION INFORMATICA</t>
  </si>
  <si>
    <t>6220005</t>
  </si>
  <si>
    <t>LIMPIEZA OFICINAS</t>
  </si>
  <si>
    <t>6222000</t>
  </si>
  <si>
    <t>REPARAC. Y CONSERV. INST. TECN</t>
  </si>
  <si>
    <t>6226000</t>
  </si>
  <si>
    <t>REPARACION Y CONSERV. MOBIL.</t>
  </si>
  <si>
    <t>6230000</t>
  </si>
  <si>
    <t>SERV. DE PROF. INDEP</t>
  </si>
  <si>
    <t>6231000</t>
  </si>
  <si>
    <t>SER.DE PROF. IND.SUJETOS A RET</t>
  </si>
  <si>
    <t>6240000</t>
  </si>
  <si>
    <t>TRANSPORTES</t>
  </si>
  <si>
    <t>6250006</t>
  </si>
  <si>
    <t>POLIZA Nº 23055594</t>
  </si>
  <si>
    <t>6250010</t>
  </si>
  <si>
    <t>POLIZA Nº 78144</t>
  </si>
  <si>
    <t>6250012</t>
  </si>
  <si>
    <t>POLIZA Nº 15848624 (PEUGEOT)</t>
  </si>
  <si>
    <t>6250013</t>
  </si>
  <si>
    <t>POLIZA Nº92/01008219 (CAMION)</t>
  </si>
  <si>
    <t>6250014</t>
  </si>
  <si>
    <t>POLIZA 16160 CO-5303-AG MERCAN</t>
  </si>
  <si>
    <t>6250015</t>
  </si>
  <si>
    <t>POLIZA BGAE022540    CO-5303-A</t>
  </si>
  <si>
    <t>6250016</t>
  </si>
  <si>
    <t>POLIZA Nº23067238 (NAVE)</t>
  </si>
  <si>
    <t>6250017</t>
  </si>
  <si>
    <t>POLIZA Nº3886400067-CITROEN C5</t>
  </si>
  <si>
    <t>6261939</t>
  </si>
  <si>
    <t>SERV. BANC. LA GENERAL</t>
  </si>
  <si>
    <t>6267241</t>
  </si>
  <si>
    <t>SERV. BANC. CAJA MADRID C.M.</t>
  </si>
  <si>
    <t>6268195</t>
  </si>
  <si>
    <t>SERV. BANC. CAJA MADRID</t>
  </si>
  <si>
    <t>6270000</t>
  </si>
  <si>
    <t>PUBLICIDAD PROPAGANDA Y  RRPP</t>
  </si>
  <si>
    <t>6280004</t>
  </si>
  <si>
    <t>SUMINISTRO LUZ ENDESA ENERGIA</t>
  </si>
  <si>
    <t>6281000</t>
  </si>
  <si>
    <t>SUMINISTROS CARBURANTE COCHES</t>
  </si>
  <si>
    <t>6281100</t>
  </si>
  <si>
    <t>SUMINISTRO CABURANTE LINEA</t>
  </si>
  <si>
    <t>6283000</t>
  </si>
  <si>
    <t>SUMINISTRO AGUA</t>
  </si>
  <si>
    <t>6284000</t>
  </si>
  <si>
    <t>SUMINISTRO GAS LINEA</t>
  </si>
  <si>
    <t>6290000</t>
  </si>
  <si>
    <t>OTROS SERVICIOS</t>
  </si>
  <si>
    <t>6290002</t>
  </si>
  <si>
    <t>GESTION DE RESIDUOS</t>
  </si>
  <si>
    <t>6290003</t>
  </si>
  <si>
    <t>GASTO TELEFONO MOVIL</t>
  </si>
  <si>
    <t>6290004</t>
  </si>
  <si>
    <t>GASTO TELEFONO FIJO</t>
  </si>
  <si>
    <t>6296000</t>
  </si>
  <si>
    <t>MATERIAL DE OFICINA</t>
  </si>
  <si>
    <t>6310000</t>
  </si>
  <si>
    <t>OTROS TRIBUTOS</t>
  </si>
  <si>
    <t>6400000</t>
  </si>
  <si>
    <t>SUELDOS Y SALARIOS</t>
  </si>
  <si>
    <t>6410000</t>
  </si>
  <si>
    <t>INDEMNIZACIONES</t>
  </si>
  <si>
    <t>6420000</t>
  </si>
  <si>
    <t>SEG. SOC. A CARGO DE LA EMPRSA</t>
  </si>
  <si>
    <t>6490001</t>
  </si>
  <si>
    <t>FORMACION</t>
  </si>
  <si>
    <t>6490006</t>
  </si>
  <si>
    <t>6491000</t>
  </si>
  <si>
    <t>PREVENCION</t>
  </si>
  <si>
    <t>6491001</t>
  </si>
  <si>
    <t>E.P.I.S</t>
  </si>
  <si>
    <t>6691001</t>
  </si>
  <si>
    <t>OTROS GASTOS FINANCIEROS</t>
  </si>
  <si>
    <t>6691195</t>
  </si>
  <si>
    <t>GASTOS FINANCIEROS CAJA MADRID</t>
  </si>
  <si>
    <t>6691241</t>
  </si>
  <si>
    <t>GASTOS FINANCIEROS CM</t>
  </si>
  <si>
    <t>6691939</t>
  </si>
  <si>
    <t>GASTOS FINANCIEROS LA GENERAL</t>
  </si>
  <si>
    <t>6800001</t>
  </si>
  <si>
    <t>AMORTIZACION SOFTWARE</t>
  </si>
  <si>
    <t>6810001</t>
  </si>
  <si>
    <t>AMORTIZACION MAQUINARIA</t>
  </si>
  <si>
    <t>6810002</t>
  </si>
  <si>
    <t>AMORTIZACION EQUIP. INFORMATIC</t>
  </si>
  <si>
    <t>6810005</t>
  </si>
  <si>
    <t>AMORT. OTRAS INSTALACIONES</t>
  </si>
  <si>
    <t>6810007</t>
  </si>
  <si>
    <t>AMORTIZ. OTRO INMOV. MATERIAL</t>
  </si>
  <si>
    <t>6810008</t>
  </si>
  <si>
    <t>AMORT. ELEM. DE TRANSPORTE</t>
  </si>
  <si>
    <t>6810010</t>
  </si>
  <si>
    <t>AMORTIZACION DE MOBILIARIO DE</t>
  </si>
  <si>
    <t>6810011</t>
  </si>
  <si>
    <t>AMORTIZACION DE CONSTRUCCIONES</t>
  </si>
  <si>
    <t>7010000</t>
  </si>
  <si>
    <t>VTA DE PROD TERMINADOS</t>
  </si>
  <si>
    <t>7010003</t>
  </si>
  <si>
    <t>TRATAMIENTOS DE PINTURA</t>
  </si>
  <si>
    <t>7010004</t>
  </si>
  <si>
    <t>TRATAMIENTOS ABRASIVOS</t>
  </si>
  <si>
    <t>7010005</t>
  </si>
  <si>
    <t>OPERACIONES COMPLEMENTARIAS</t>
  </si>
  <si>
    <t>7040000</t>
  </si>
  <si>
    <t>VENTA DE ENVASES Y EMBALAJES</t>
  </si>
  <si>
    <t>7080000</t>
  </si>
  <si>
    <t>DEVOLUCIONES Y ABONOS DE FAC.</t>
  </si>
  <si>
    <t>7080003</t>
  </si>
  <si>
    <t>DEVOLUC. TRATAMIENTOS PINTURA</t>
  </si>
  <si>
    <t>7460000</t>
  </si>
  <si>
    <t>SUBV. TRASP. RDOS EJERCICIO</t>
  </si>
  <si>
    <t>7590000</t>
  </si>
  <si>
    <t>INGRESOS POR SERVICIOS DIVERSO</t>
  </si>
  <si>
    <t>7690000</t>
  </si>
  <si>
    <t>OTROS INGRESOS FINANCIEROS</t>
  </si>
  <si>
    <t>7691185</t>
  </si>
  <si>
    <t>INGRESOS FINACIEROS CAJA MADRI</t>
  </si>
  <si>
    <t>7691241</t>
  </si>
  <si>
    <t>INGRESOS FINANCIEROS CAJA MADR</t>
  </si>
  <si>
    <t>7691939</t>
  </si>
  <si>
    <t>INGRESOS FINANCIEROS LA GENERA</t>
  </si>
  <si>
    <t>GASTOS PERSONAL</t>
  </si>
  <si>
    <t>REPARACION Y CONSERVACIÓN</t>
  </si>
  <si>
    <t xml:space="preserve">               VENTAS DE PRODUCTOS TERMINADOS</t>
  </si>
  <si>
    <t xml:space="preserve">               VENTAS DE ENVASES Y EMBALAJES</t>
  </si>
  <si>
    <t xml:space="preserve">               DEVOLUCIONES DE VENTAS</t>
  </si>
  <si>
    <t>PRESUPUESTO</t>
  </si>
  <si>
    <t>APROVISIONAMIENTOS</t>
  </si>
  <si>
    <t xml:space="preserve">               COMPRA DE MATERIAS PRIMAS</t>
  </si>
  <si>
    <t xml:space="preserve">               COMPRAS DE OTROS APROVISIONAMIENTOS</t>
  </si>
  <si>
    <t xml:space="preserve">               TRABAJOS REALIZADOS POR O. EMPRESAS</t>
  </si>
  <si>
    <t>OTROS INGRESOS DE EXPLOTACIÓN</t>
  </si>
  <si>
    <t>IMPORTE NETO DE LA CIFRA DE NEGOCIOS</t>
  </si>
  <si>
    <t xml:space="preserve">               INGRESOS POR SERVICIOS DIVERSOS</t>
  </si>
  <si>
    <t xml:space="preserve">               INGRESOS EXTRAORDINARIOS</t>
  </si>
  <si>
    <t xml:space="preserve">               SUELDOS Y SALARIOS</t>
  </si>
  <si>
    <t xml:space="preserve">               INDEMNIZACIONES</t>
  </si>
  <si>
    <t xml:space="preserve">               SEGURIDAD SOCIAL A CARGO DE LA EMPRESA</t>
  </si>
  <si>
    <t xml:space="preserve">               OTROS GASTOS SOCIALES</t>
  </si>
  <si>
    <t>OTROS GASTOS DE EXPLOTACIÓN</t>
  </si>
  <si>
    <t xml:space="preserve">               ARRENDAMIENTOS Y CANONES</t>
  </si>
  <si>
    <t xml:space="preserve">               REPARACIÓN Y CONSERVACIÓN</t>
  </si>
  <si>
    <t xml:space="preserve">               SERV. PROFESIONALES INDEPENDIENTES</t>
  </si>
  <si>
    <t xml:space="preserve">               TRANSPORTES</t>
  </si>
  <si>
    <t xml:space="preserve">               PRIMAS DE SEGUROS</t>
  </si>
  <si>
    <t xml:space="preserve">               SERVICIOS BANCARIOS Y SIMILARES</t>
  </si>
  <si>
    <t xml:space="preserve">               PUBLICIDAD PROPAGANDA Y RR.PP</t>
  </si>
  <si>
    <t xml:space="preserve">               SUMINISTROS</t>
  </si>
  <si>
    <t xml:space="preserve">               OTROS SERVICIOS</t>
  </si>
  <si>
    <t xml:space="preserve">               OTROS TRIBUTOS</t>
  </si>
  <si>
    <t xml:space="preserve">               TOTAL GASTOS ESTRUCTURA</t>
  </si>
  <si>
    <t xml:space="preserve">               A. INMOVILIZADO INTANGIBLE</t>
  </si>
  <si>
    <t xml:space="preserve">               A. INMOVILIZADO MATERIAL</t>
  </si>
  <si>
    <t>SUBVENCIONES</t>
  </si>
  <si>
    <t>SUBVENCIONES RESULT. EJERCICIO</t>
  </si>
  <si>
    <t>RESULTADO DE EXPLOTACIÓN</t>
  </si>
  <si>
    <t xml:space="preserve">               OTROS INGRESOS FINANCIEROS</t>
  </si>
  <si>
    <t>GASTOS FINANCIEROS</t>
  </si>
  <si>
    <t xml:space="preserve">               INTERESES DE DEUDAS</t>
  </si>
  <si>
    <t xml:space="preserve">               OTROS GASTOS FINANCIEROS</t>
  </si>
  <si>
    <t>GSTOS EXTRAORDINARIOS</t>
  </si>
  <si>
    <t xml:space="preserve">               GASTOS EXTRAORDINARIOS</t>
  </si>
  <si>
    <t>RESULTADOS FINANCIERO</t>
  </si>
  <si>
    <t xml:space="preserve">               INGRESOS POR SERVICIOS AL PERSONAL</t>
  </si>
  <si>
    <t>% VARIACION</t>
  </si>
  <si>
    <t>Real 2009 facturación / día</t>
  </si>
  <si>
    <t xml:space="preserve">REAL AÑO 2008                = </t>
  </si>
  <si>
    <r>
      <t xml:space="preserve">147 CASARRUBIO ELEVADORES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</si>
  <si>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FFFF00"/>
        <rFont val="Calibri"/>
        <family val="2"/>
        <scheme val="minor"/>
      </rPr>
      <t>(N)</t>
    </r>
  </si>
  <si>
    <t>OTROS (NACIONALES)</t>
  </si>
  <si>
    <t>TWO-TO-TEST</t>
  </si>
  <si>
    <t>ESTRUCTURAS DE DISEÑO DISSER</t>
  </si>
  <si>
    <t>GRUPO ANTOLIN INTERIORES</t>
  </si>
  <si>
    <t>VEHICULOS MOVILES VERSATILES</t>
  </si>
  <si>
    <t>BONITRANS</t>
  </si>
  <si>
    <t>INTEGRAL CALDE PYR</t>
  </si>
  <si>
    <t>LINALLAC FOAMS</t>
  </si>
  <si>
    <t>ACABADOS Y PINTURAS CAROLINA</t>
  </si>
  <si>
    <t>TECNOEXPRESS</t>
  </si>
  <si>
    <t>CASARRUBIO ELEVADORES</t>
  </si>
  <si>
    <t>SUGREMIN S.A.</t>
  </si>
  <si>
    <t>FABRICACION Y PROCESOS METALICOS</t>
  </si>
  <si>
    <t>COPEMA INGENIEROS S.A.</t>
  </si>
  <si>
    <t>FUNDICIONES MECACONTROL S.A.</t>
  </si>
  <si>
    <t>ELDON ESPAÑA S.A.U.</t>
  </si>
  <si>
    <t>FADESA</t>
  </si>
  <si>
    <t>FABRICADOS PARA LA AUTOMOCION DEL SUR</t>
  </si>
  <si>
    <t>FCO. CUADRADO E HIJOS</t>
  </si>
  <si>
    <t>MARTIN TECHNICAL</t>
  </si>
  <si>
    <t>HIDRAL</t>
  </si>
  <si>
    <t>DISMAN LINARES, S.A.</t>
  </si>
  <si>
    <t>DISMAN LINARES</t>
  </si>
  <si>
    <t>TRIMESTRAL</t>
  </si>
  <si>
    <t>SIGNO</t>
  </si>
  <si>
    <t>≥</t>
  </si>
  <si>
    <t>&lt;</t>
  </si>
  <si>
    <t xml:space="preserve">≤ </t>
  </si>
  <si>
    <t>&gt;</t>
  </si>
  <si>
    <t>≤</t>
  </si>
  <si>
    <t>=</t>
  </si>
  <si>
    <t>NATANAEL LOPEZ MARTINEZ</t>
  </si>
  <si>
    <t>PRODUCCIÓN / LOGISTICA</t>
  </si>
  <si>
    <t>TALLERES COLODRO S.L.</t>
  </si>
  <si>
    <t>FRAGOMOR S.L.</t>
  </si>
  <si>
    <t>Real 2010 facturación / día</t>
  </si>
  <si>
    <t>REAL AÑO 2009                =</t>
  </si>
  <si>
    <t>ACUMULADO 2011</t>
  </si>
  <si>
    <t>PRESUPUESTO 2011</t>
  </si>
  <si>
    <t xml:space="preserve">PREVISTO 2011 </t>
  </si>
  <si>
    <t>PREVISTO 2011</t>
  </si>
  <si>
    <t>REAL AÑO 2010                =</t>
  </si>
  <si>
    <t>LINARES</t>
  </si>
  <si>
    <t>SESEÑA</t>
  </si>
  <si>
    <t xml:space="preserve">LINARES </t>
  </si>
  <si>
    <t xml:space="preserve">Junio </t>
  </si>
  <si>
    <t>TOTAL CONJUNTO</t>
  </si>
  <si>
    <r>
      <t xml:space="preserve">152  PROTEC FIRE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</si>
  <si>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196 EUROPEA DE TRANSPORTES Y SISTEMAS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</si>
  <si>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205 HIERRO ESTILO TALLER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</si>
  <si>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207 ACCESORIOS TECNICOS DEL ALUMINIO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</si>
  <si>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188 TECNOSEFI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</si>
  <si>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209 MAYCAMETAL S.L. </t>
    </r>
    <r>
      <rPr>
        <b/>
        <sz val="14"/>
        <color rgb="FFFF0000"/>
        <rFont val="Calibri"/>
        <family val="2"/>
        <scheme val="minor"/>
      </rPr>
      <t>(L)</t>
    </r>
  </si>
  <si>
    <t>PERSONAL INDIRECTO (SESEÑA)</t>
  </si>
  <si>
    <t>ESTRUCTURA (SESEÑA)</t>
  </si>
  <si>
    <t>ESTRUCTURA (LINARES)</t>
  </si>
  <si>
    <t>PERSONAL INDIRECTO (LINARES)</t>
  </si>
  <si>
    <t>DAVID MONZÓN TRIGO</t>
  </si>
  <si>
    <t>FRANCISCO ENRIQUE RAYA ARAUZ</t>
  </si>
  <si>
    <t>ANTONIO CORONEL MORENO</t>
  </si>
  <si>
    <t>AGUSTIN RODRIGUEZ MOLINA</t>
  </si>
  <si>
    <t>JOAQUIN CORTES MURILLO</t>
  </si>
  <si>
    <t>JUAN CARLOS DEL CASTILLO ROZAS</t>
  </si>
  <si>
    <t>BERNARDINO RUEDA SANTAMARIA</t>
  </si>
  <si>
    <t>FRANCISCO JOSE SANTIAGO CAÑETE</t>
  </si>
  <si>
    <t>ENRIQUETA DE AMO GARCIA</t>
  </si>
  <si>
    <t>MANUEL GARCIA LOPEZ</t>
  </si>
  <si>
    <t>ALTA</t>
  </si>
  <si>
    <t>BAJA</t>
  </si>
  <si>
    <t xml:space="preserve">ALTA </t>
  </si>
  <si>
    <t>OPERARIOS (LINARES) E.T.T.</t>
  </si>
  <si>
    <t>EVA MARIA DE LA TORRE GARCIA</t>
  </si>
  <si>
    <t>MANO DE OBRA LINARES</t>
  </si>
  <si>
    <t>PERSONAL INDIRECTO</t>
  </si>
  <si>
    <t>PERSONAL DIRECTO</t>
  </si>
  <si>
    <t>TOTAL MANO OBRA</t>
  </si>
  <si>
    <t>MANO DE OBRA SESEÑA</t>
  </si>
  <si>
    <t>FIJOS</t>
  </si>
  <si>
    <t>EVENTUALES</t>
  </si>
  <si>
    <t>ETT</t>
  </si>
  <si>
    <t>Dias trabajados</t>
  </si>
  <si>
    <t>TRBJOS R.P.O.E. INTEGRASUR</t>
  </si>
  <si>
    <t>POLIZA 05-03-066552A (RAFAEL SORIANO)</t>
  </si>
  <si>
    <t>POLIZA 05-03-066552B (MIGUEL ANGEL)</t>
  </si>
  <si>
    <t>POLIZA 05-03-066552C (JOSE LARA)</t>
  </si>
  <si>
    <t>EFECTO AGOSTO Y DICIEMBRE</t>
  </si>
  <si>
    <t xml:space="preserve">BECA  FORM. </t>
  </si>
  <si>
    <t>VENTA PRODUCTOS TERMINADOS</t>
  </si>
  <si>
    <t xml:space="preserve">AMORTIZACIÓN </t>
  </si>
  <si>
    <t>PRIMAS DE SEGUROS</t>
  </si>
  <si>
    <t>ARRENDAMIENTOS Y CANONES</t>
  </si>
  <si>
    <t>TRBJOS R.P.O.E. ATLAS SERV. EMPR.</t>
  </si>
  <si>
    <t>VARIACIÓN DE EX. MAT. PRIMAS</t>
  </si>
  <si>
    <t>ALQUILER CARRETILLA</t>
  </si>
  <si>
    <t>ALQUILER EQUIPOS SARENET S.A.</t>
  </si>
  <si>
    <t>REPARAC. Y CONSERV. UTILLAJES</t>
  </si>
  <si>
    <t>POLIZA Nº 027153078 (FURG. NISSAN)</t>
  </si>
  <si>
    <t>POLIZA Nº027178548 (CAMION MAN)</t>
  </si>
  <si>
    <t>SEGURO SERVIGESCAR, S.L.</t>
  </si>
  <si>
    <t>ENDESA ENERGIA LUZ JAEN</t>
  </si>
  <si>
    <t>SUMINISTROS GAS BUTANO LINARES</t>
  </si>
  <si>
    <t>MULTAS Y SANCIONES</t>
  </si>
  <si>
    <t>IMPUESTO SOBRE BENEFICIOS</t>
  </si>
  <si>
    <t>PERD. CRTOS. CMLES INCOBRABLES</t>
  </si>
  <si>
    <t>INT. DEUD. OTRAS PARTES VINCUL.</t>
  </si>
  <si>
    <t>INT. DEUD. P.VINC. PRESTAM. 3,2</t>
  </si>
  <si>
    <t>VICTOR MANUEL MOLINA MURO</t>
  </si>
  <si>
    <t>CARMEN VERGARA ALIAS</t>
  </si>
  <si>
    <t>computo como trabajador</t>
  </si>
  <si>
    <t xml:space="preserve">SEPTIEMBRE </t>
  </si>
  <si>
    <t xml:space="preserve">% DE G. DE PERSONAL S/VENTAS. </t>
  </si>
  <si>
    <t>SESÑA</t>
  </si>
  <si>
    <t>GESTAMP TOLEDO S.L.</t>
  </si>
  <si>
    <t>PROTEC FIRE S.A.</t>
  </si>
  <si>
    <t xml:space="preserve">SANTANA MOTOR </t>
  </si>
  <si>
    <t>DAPLAST S.A.</t>
  </si>
  <si>
    <t>TECNOSEFI S.L.</t>
  </si>
  <si>
    <t>EUROPEA DE TRANSPORTES Y SISTEMAS S.L.</t>
  </si>
  <si>
    <t>HIPERSTOCK DE BISUTERIA Y COMPONENETES S.L.</t>
  </si>
  <si>
    <t>HIERRO ESTILO TALLER S.L.</t>
  </si>
  <si>
    <t>ACCESORIOS TECNICOS DEL ALUMINIO S.L.</t>
  </si>
  <si>
    <t>MAYCAMETAL S.L.</t>
  </si>
  <si>
    <t>CAENAS S.L.</t>
  </si>
  <si>
    <t>MERAK SISTEMAS INTEGRADOS DE CLIMATIZACION S.A.</t>
  </si>
  <si>
    <t>CODIMAR S.L.</t>
  </si>
  <si>
    <r>
      <t xml:space="preserve">200 HIPERSTOCK DE BISUTERIA Y COMPONENTES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</si>
  <si>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211 CAENAS S.L. </t>
    </r>
    <r>
      <rPr>
        <b/>
        <sz val="14"/>
        <color rgb="FF990099"/>
        <rFont val="Calibri"/>
        <family val="2"/>
        <scheme val="minor"/>
      </rPr>
      <t>(P)</t>
    </r>
  </si>
  <si>
    <r>
      <t xml:space="preserve">213 CODIMAR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</si>
  <si>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133 GESTAMP TOLEDO S.L. </t>
    </r>
    <r>
      <rPr>
        <b/>
        <sz val="14"/>
        <color rgb="FF1E28FA"/>
        <rFont val="Calibri"/>
        <family val="2"/>
        <scheme val="minor"/>
      </rPr>
      <t>(GT)</t>
    </r>
  </si>
  <si>
    <t>Dias laborables Seseña</t>
  </si>
  <si>
    <t>Días laborables Linares</t>
  </si>
  <si>
    <t>Facturación / día Seseña</t>
  </si>
  <si>
    <t>Facturación / día Linares</t>
  </si>
  <si>
    <t>Facturación / día total</t>
  </si>
  <si>
    <t>JUAN ANTONIO MUÑOZ RODRIGUEZ</t>
  </si>
  <si>
    <t>AGUSTIN BATRES RODRIGUEZ</t>
  </si>
  <si>
    <t>VARIACION EXISTENCIA MATERIAS PRIMAS</t>
  </si>
  <si>
    <t>VARIACION EXISTENCIAS MATERIAS PRIMAS</t>
  </si>
  <si>
    <t>DOTACION PROVISION OPERACIONES COMERCIALES</t>
  </si>
  <si>
    <r>
      <t xml:space="preserve">219 GRUPO JPG,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</si>
  <si>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215 INDUSTRIAS ALGAMA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</si>
  <si>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223 COMARTH ENGINEERING S.L. </t>
    </r>
    <r>
      <rPr>
        <b/>
        <sz val="14"/>
        <color rgb="FFFFFF00"/>
        <rFont val="Calibri"/>
        <family val="2"/>
        <scheme val="minor"/>
      </rPr>
      <t>(N)</t>
    </r>
  </si>
  <si>
    <t>SATISFACCION LABORAL</t>
  </si>
  <si>
    <t>AUMENTO/DISMINUCION SATISFACCION LABORAL</t>
  </si>
  <si>
    <t>SATISFACCION DEL PERSONAL</t>
  </si>
  <si>
    <t>MOTIV.Y SATISF.</t>
  </si>
  <si>
    <t>RELACIONES CON AUTORIDAD</t>
  </si>
  <si>
    <t>RELACIONES CON COMPAÑEROS</t>
  </si>
  <si>
    <t>CONDICIONES DE TRABAJO</t>
  </si>
  <si>
    <t>SATISFACCION GENERAL</t>
  </si>
  <si>
    <t>SATISFACION AÑO N-1</t>
  </si>
  <si>
    <t>N</t>
  </si>
  <si>
    <t>N-1</t>
  </si>
  <si>
    <t>A/D</t>
  </si>
  <si>
    <t>Numero de mejoras implantadas</t>
  </si>
  <si>
    <t>Satisfaccion laboral</t>
  </si>
  <si>
    <t>Aumento/disminucion satisfacción personal</t>
  </si>
  <si>
    <t>Cuatrimestral</t>
  </si>
  <si>
    <t>DAVID MARTIN ORTEGA</t>
  </si>
  <si>
    <t>MANUEL MARTINEZ NAVAS</t>
  </si>
  <si>
    <t>MARG</t>
  </si>
  <si>
    <t>NLM</t>
  </si>
  <si>
    <t>JAR</t>
  </si>
  <si>
    <t>TOTAL AÑO 2012</t>
  </si>
  <si>
    <t>PRESUPUESTO 2012</t>
  </si>
  <si>
    <t>INDUSTRIAS ALGAMA</t>
  </si>
  <si>
    <t>GRUPO JPG S.A.</t>
  </si>
  <si>
    <t>ADRES JESUS RUBIA MAZA</t>
  </si>
  <si>
    <t>COMARTH ENGINEERING S.L.</t>
  </si>
  <si>
    <t>ANDRES JESUS RUBIA MAZA</t>
  </si>
  <si>
    <r>
      <t>222 ANDRES JESUS RUBIA MAZA</t>
    </r>
    <r>
      <rPr>
        <b/>
        <sz val="14"/>
        <color rgb="FF990099"/>
        <rFont val="Calibri"/>
        <family val="2"/>
        <scheme val="minor"/>
      </rPr>
      <t xml:space="preserve"> (P)</t>
    </r>
  </si>
  <si>
    <t>Real 2012 facturación / día</t>
  </si>
  <si>
    <t>Real 2011 facturación / día</t>
  </si>
  <si>
    <t>CONTRATO TEMPORAL</t>
  </si>
  <si>
    <t>CAUSA BAJA EN LA EMPRESA</t>
  </si>
  <si>
    <t>TRABAJADORES ETT</t>
  </si>
  <si>
    <t>FCO. JAVIER GALIANO</t>
  </si>
  <si>
    <t>OPERARIOS DIRECTOS (LINARES)</t>
  </si>
  <si>
    <t xml:space="preserve">OPERARIOS DIRECTOS (SESEÑA) </t>
  </si>
  <si>
    <t>DATOS 2005 - 2013</t>
  </si>
  <si>
    <t>CONSUMOS PRODUCCIÓN 2013</t>
  </si>
  <si>
    <t>2013</t>
  </si>
  <si>
    <t>FACTURACIÓN MEDIA POR OPERARIO 2013</t>
  </si>
  <si>
    <t>MEJORA PRESPTO PRODUCCIÓN 2013</t>
  </si>
  <si>
    <t>PERDIDAS DE HORAS POR O. RECUPERACION 2013</t>
  </si>
  <si>
    <t>RENDIMINETO POR SECCIÓN 2013</t>
  </si>
  <si>
    <t>RECHAZOS INTERNOS 2013</t>
  </si>
  <si>
    <t>RECHAZOS EXTERNOS 2013</t>
  </si>
  <si>
    <t>COSTE NO CALIDAD 2013</t>
  </si>
  <si>
    <t>INCIDNTES. CON DESPLAZAMTO A INSTALACIONES DE CLIENTES 2013</t>
  </si>
  <si>
    <t>MEDIA INTERVENCIONES CORRECTIVAS POR MAQUINA 2013</t>
  </si>
  <si>
    <t>INTERVIENCIONES CON PARADA 2013</t>
  </si>
  <si>
    <t>CUMPLIMIENTO ANUAL AUDITORIAS 2013</t>
  </si>
  <si>
    <t>% ACCIONES FUERA PLAZO 2013</t>
  </si>
  <si>
    <t>Nº CALIBRACIONES FUERA FECHA 2013</t>
  </si>
  <si>
    <t>EVOLUCION DE INDICADORES 2013</t>
  </si>
  <si>
    <t>COMPARACIÓN REAL/PRESUPUESTO 2013</t>
  </si>
  <si>
    <t>PRESUPUESTO 2013</t>
  </si>
  <si>
    <t>ACUMULADO ENERO 2013</t>
  </si>
  <si>
    <t>PREVISTO DICIEMBRE 2013</t>
  </si>
  <si>
    <t>EVOLUCION RATIOS MESES 2013</t>
  </si>
  <si>
    <t>AÑO 2013</t>
  </si>
  <si>
    <t>DESGLOSE FACTURACION 2013</t>
  </si>
  <si>
    <t>DESGLOSE FACTURACION PORCENTAJES 2013</t>
  </si>
  <si>
    <t>Real 2013 facturación / día</t>
  </si>
  <si>
    <t>EVALUACIÓN CONTINUA DE PROVEEDORES APROBADOS AÑO 2.013</t>
  </si>
  <si>
    <t>PRESUPUESTO 2013 FACTURACIÓN MES</t>
  </si>
  <si>
    <r>
      <t xml:space="preserve">41 ARTE Y FORJA JAÉN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</si>
  <si>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72 DOYMA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</si>
  <si>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92 FABRICADOS DE BLODER S.L.U.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</si>
  <si>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103 DECORACIONES CABINAS Y COMPONENTES.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</si>
  <si>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104 RUEDAGUA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</si>
  <si>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108 EXPORT AGRICOLA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</si>
  <si>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114 SUGREMIN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</si>
  <si>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115 GOMOLAN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</si>
  <si>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116 FON - MAR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</si>
  <si>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117 PERFILES Y DERIVADOS ANDALUCES S.L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</si>
  <si>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119 FUMAPA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</si>
  <si>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127 FABRICACION Y PROCESOS METALICOS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</si>
  <si>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129 COPEMA INGENIEROS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</si>
  <si>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131 COMP. Y ESTAMP. DEL SUR </t>
    </r>
    <r>
      <rPr>
        <b/>
        <sz val="14"/>
        <color rgb="FFFF0000"/>
        <rFont val="Calibri"/>
        <family val="2"/>
        <scheme val="minor"/>
      </rPr>
      <t>(L)</t>
    </r>
  </si>
  <si>
    <r>
      <t>132 FUNDICIONES MECANCONTROL S.A.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</si>
  <si>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136 EXP. NOVED. INDUSTRIALES (EXNI)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</si>
  <si>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137 GES ANDALUCIA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</si>
  <si>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140 FORJAS Y ESTAMPACIONES JIENNENSES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</si>
  <si>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142 URANO INDUSTRIAL ELECTROM.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</si>
  <si>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150 TALL. CORRAL MECANIZADOS S.L.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</si>
  <si>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151 PROTOTIPOS Y UTILIDADES MARTEÑOS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</si>
  <si>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153 SOLACAR S.A.L.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</si>
  <si>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155 SANTANA MOTOR </t>
    </r>
    <r>
      <rPr>
        <b/>
        <sz val="14"/>
        <color rgb="FFFF0000"/>
        <rFont val="Calibri"/>
        <family val="2"/>
        <scheme val="minor"/>
      </rPr>
      <t>(L)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</si>
  <si>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159 TCM NATURALIA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</si>
  <si>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160 EXPRESSO LINARES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</si>
  <si>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161 ESTRUCTURAS DE DISEÑO DISSER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</si>
  <si>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163 PINTURAS GARLEY S.L. </t>
    </r>
    <r>
      <rPr>
        <b/>
        <sz val="14"/>
        <color rgb="FFFF0000"/>
        <rFont val="Calibri"/>
        <family val="2"/>
        <scheme val="minor"/>
      </rPr>
      <t>(L)</t>
    </r>
  </si>
  <si>
    <r>
      <t>164 BEHUUEMAR TUCCITANA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</si>
  <si>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 xml:space="preserve">169 VEHICULOS MOVILES VESATILES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</si>
  <si>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172 LINALLAC FOAMS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</si>
  <si>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173 ACABADOS Y PINTURAS CAROLINA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</si>
  <si>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174 TECNOEXPRESS,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</si>
  <si>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187 TALLERES COLODRO, S.L. </t>
    </r>
    <r>
      <rPr>
        <b/>
        <sz val="14"/>
        <color theme="7" tint="-0.249977111117893"/>
        <rFont val="Calibri"/>
        <family val="2"/>
        <scheme val="minor"/>
      </rPr>
      <t>(P)</t>
    </r>
  </si>
  <si>
    <r>
      <t xml:space="preserve">170 BONITRANS,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</si>
  <si>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171 INTEGRAL CALDE  PYR, S.L. </t>
    </r>
    <r>
      <rPr>
        <b/>
        <sz val="14"/>
        <color rgb="FFFFFF00"/>
        <rFont val="Calibri"/>
        <family val="2"/>
        <scheme val="minor"/>
      </rPr>
      <t>(N)</t>
    </r>
  </si>
  <si>
    <r>
      <t>189 FRAGOMOR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</si>
  <si>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667 FABRICADOS PARA LA AUTOMOCION DEL SUR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</si>
  <si>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671 MARTIN TECHNICAL.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</si>
  <si>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672 HIDRAL, S.A.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</si>
  <si>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722 MECANIZADOS MECASANZ </t>
    </r>
    <r>
      <rPr>
        <b/>
        <sz val="14"/>
        <color rgb="FFFF0000"/>
        <rFont val="Calibri"/>
        <family val="2"/>
        <scheme val="minor"/>
      </rPr>
      <t>(L)</t>
    </r>
  </si>
  <si>
    <t>TOTAL MES</t>
  </si>
  <si>
    <t>OPERARIOS SESEÑA E.T.T.</t>
  </si>
  <si>
    <t>RAUL RUBIO SANZ</t>
  </si>
  <si>
    <t>JESUS VICENTE ORTIZ MALDONADO</t>
  </si>
  <si>
    <t>intervalos de tiempo Manuel Garcia Lopez</t>
  </si>
  <si>
    <t>ACT</t>
  </si>
  <si>
    <t>EXCESO DE PROVISIONES</t>
  </si>
  <si>
    <r>
      <t xml:space="preserve">83 GESTAMP LINARES S.A. </t>
    </r>
    <r>
      <rPr>
        <b/>
        <sz val="14"/>
        <color rgb="FF00B0F0"/>
        <rFont val="Calibri"/>
        <family val="2"/>
        <scheme val="minor"/>
      </rPr>
      <t>(GL)</t>
    </r>
  </si>
  <si>
    <t>FRANCISCO JAVIER GONZALEZ</t>
  </si>
  <si>
    <t>JOSE FUENTES RUIZ</t>
  </si>
  <si>
    <t>JOSE ANTONIO CASITLLO GARCIA</t>
  </si>
  <si>
    <t>MANUEL BARRAGAN PEREZ</t>
  </si>
  <si>
    <t>JUAN A. SUAREZ BALLESTEROSS</t>
  </si>
  <si>
    <r>
      <t xml:space="preserve">212 KNORR-BREMSE ESPAÑA,  S.A.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</si>
  <si>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228 DAPLAST, S.L. </t>
    </r>
    <r>
      <rPr>
        <b/>
        <sz val="14"/>
        <color rgb="FF66FF33"/>
        <rFont val="Calibri"/>
        <family val="2"/>
        <scheme val="minor"/>
      </rPr>
      <t>(A)</t>
    </r>
  </si>
  <si>
    <r>
      <t>157 LIDERKIT S.L.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</si>
  <si>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>191 MECANIZADOS DE PRECISION LINARES S.A.L.</t>
    </r>
    <r>
      <rPr>
        <b/>
        <sz val="14"/>
        <color rgb="FFFF0000"/>
        <rFont val="Calibri"/>
        <family val="2"/>
        <scheme val="minor"/>
      </rPr>
      <t xml:space="preserve"> (L)</t>
    </r>
  </si>
  <si>
    <r>
      <t xml:space="preserve">239 MECANIZADOS Y MATRICERIA MATRISUR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</si>
  <si>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227 INDUSTRIA METALICA CAROLINA, S.L.L. </t>
    </r>
    <r>
      <rPr>
        <b/>
        <sz val="14"/>
        <color rgb="FF7030A0"/>
        <rFont val="Calibri"/>
        <family val="2"/>
        <scheme val="minor"/>
      </rPr>
      <t>(P)</t>
    </r>
  </si>
  <si>
    <t>DATOS EXPLOTACIÓN 2013</t>
  </si>
  <si>
    <t>PERDIDAS DE CREDITOS COMERIALES INCOBRABLES.</t>
  </si>
  <si>
    <t>DOTACION PROVISION POR INSOLVENCIAS DE TRAFICO</t>
  </si>
  <si>
    <t xml:space="preserve">              IMPUESTO SOBRE BENEFICIOS</t>
  </si>
  <si>
    <t>RESULTADO DEL EJERCICIO</t>
  </si>
  <si>
    <t xml:space="preserve">               IMPUESTO SOBRE BENEFICIOS</t>
  </si>
  <si>
    <t>REAL AÑO 2011                =</t>
  </si>
  <si>
    <t>REAL AÑO 2012                =</t>
  </si>
  <si>
    <t>REAL AÑO 2013                =</t>
  </si>
  <si>
    <t>EVOLUCIÓN DE INDICADORES 2014</t>
  </si>
  <si>
    <t>MÉTODO DE CÁLCULO</t>
  </si>
  <si>
    <t>FRECUENCIA REVISIÓN</t>
  </si>
  <si>
    <t>RESPONSABLE PRESENTACIÓN</t>
  </si>
  <si>
    <t>OBJETIVO AÑO ANTERIOR</t>
  </si>
  <si>
    <t>RESULTADO AÑO ANTERIOR</t>
  </si>
  <si>
    <t>COMENTARIOS EVOLUCIÓN OBJETIVO</t>
  </si>
  <si>
    <t>OBJETIVO 2014</t>
  </si>
  <si>
    <t>MÁX/MÍN</t>
  </si>
  <si>
    <t>RESULTADO 2014</t>
  </si>
  <si>
    <t>GRÁFICO (RUTA)</t>
  </si>
  <si>
    <t>COMENTARIO/CAUSAS</t>
  </si>
  <si>
    <t>ACCIONES DERIVADAS</t>
  </si>
  <si>
    <t>RESPONS.</t>
  </si>
  <si>
    <t>PLAZO</t>
  </si>
  <si>
    <t>CIERRE</t>
  </si>
  <si>
    <t>EFICACIA</t>
  </si>
  <si>
    <t>Nº de sugerencia presentadas</t>
  </si>
  <si>
    <t>EFICIENCIA</t>
  </si>
  <si>
    <t>Javier Gonzalez</t>
  </si>
  <si>
    <t>Nº de sugerencias/mejoras presentadas frente a  implantadas</t>
  </si>
  <si>
    <t>% Reducción costes</t>
  </si>
  <si>
    <t>Planificado frente a implantado</t>
  </si>
  <si>
    <t>Natanael López</t>
  </si>
  <si>
    <t>Planificado frente a entregado</t>
  </si>
  <si>
    <t>Horas perdidas en la planificación por recuperaciones</t>
  </si>
  <si>
    <t>Facturación media por operario</t>
  </si>
  <si>
    <t>Jesús Colmenero</t>
  </si>
  <si>
    <t>Mejora del presupuesto para la producción</t>
  </si>
  <si>
    <t>Rendimiento por sección (linea pintura)</t>
  </si>
  <si>
    <t>Rendimiento por operario (O.C.)</t>
  </si>
  <si>
    <t>Suplementos de flete</t>
  </si>
  <si>
    <t>Nivel de entrega o tasa de servicio GESSTAMP</t>
  </si>
  <si>
    <t>Nivel de entrega o tasa de servicio , resto de clientes</t>
  </si>
  <si>
    <t>Nº de facturas no aceptadas por clientes</t>
  </si>
  <si>
    <t>Rafael Soriano</t>
  </si>
  <si>
    <t>Cumplimiento plazos de facturación</t>
  </si>
  <si>
    <t>Juan A. Anguita</t>
  </si>
  <si>
    <t>Cumplimiento plan de auditorías</t>
  </si>
  <si>
    <t>Auditorias planificadas frente a auditorias realizadas en fecha</t>
  </si>
  <si>
    <t>J. Navarro</t>
  </si>
  <si>
    <t>Se mantiene obj, a tenor a resultado del año anterior</t>
  </si>
  <si>
    <t>MIN</t>
  </si>
  <si>
    <t>% acciones fuera de plazo</t>
  </si>
  <si>
    <t xml:space="preserve">Acciones correctivas fuera de plazo </t>
  </si>
  <si>
    <t>MAX</t>
  </si>
  <si>
    <t>Evaluación periódica proveedores (calidad)</t>
  </si>
  <si>
    <t>Evaluación periódica proveedores (entregas)</t>
  </si>
  <si>
    <t>Mantenimiento costes de las compras</t>
  </si>
  <si>
    <t>Máquinas con mayor nº de correctivas</t>
  </si>
  <si>
    <t>Alain Cañellas</t>
  </si>
  <si>
    <t>Nº de máquinas con paradas productivas</t>
  </si>
  <si>
    <t>Nº de horas por parada productiva de máquinas</t>
  </si>
  <si>
    <t>Nº de O.M. planificadas frente a ejecutadas en plazo</t>
  </si>
  <si>
    <t>Buscar uno de preventivas/predictivas</t>
  </si>
  <si>
    <t>Nº de incidentes internos</t>
  </si>
  <si>
    <t xml:space="preserve">Nº de incidentes internos declarados </t>
  </si>
  <si>
    <t>MENSUAL</t>
  </si>
  <si>
    <t>PPM´s internas</t>
  </si>
  <si>
    <t>Piezas rechazadas por millon de piezas fabricadas.</t>
  </si>
  <si>
    <t>Nº de incidentes clientes GESTAMP</t>
  </si>
  <si>
    <t>Nº de incidentes recibidos - Acumulado anual</t>
  </si>
  <si>
    <t>Indicador nuevo</t>
  </si>
  <si>
    <t>Objetivo impuesto por el cliente</t>
  </si>
  <si>
    <t>PPM´s cliente GESTAMP</t>
  </si>
  <si>
    <t>Piezas rechazadas técnicas por millon de piezas entregadas</t>
  </si>
  <si>
    <t>Nº de incidentes cliente T. Corral</t>
  </si>
  <si>
    <t>PPM´s cliente T. Corral</t>
  </si>
  <si>
    <t>Nº de incidentes cliente KNORR-BREMSE</t>
  </si>
  <si>
    <t>PPM´s cliente KNORR-BREMSE</t>
  </si>
  <si>
    <t>Nº de incidentes cliente GAIT</t>
  </si>
  <si>
    <t>PPM´s cliente GAIT</t>
  </si>
  <si>
    <t>Costes de no calidad internos</t>
  </si>
  <si>
    <t>% costes de fallos internos  / facturación</t>
  </si>
  <si>
    <t>Costes de no calidad externos</t>
  </si>
  <si>
    <t>% costes de fallos externos/ facturacion</t>
  </si>
  <si>
    <t>Contestación incidentes en fecha</t>
  </si>
  <si>
    <t xml:space="preserve">PA5 </t>
  </si>
  <si>
    <t>%  de contestaciones en fecha</t>
  </si>
  <si>
    <t>Tasa de cumplimiento de calibraciones</t>
  </si>
  <si>
    <t>% equipos dentro del plazo de calibración</t>
  </si>
  <si>
    <t>OK</t>
  </si>
  <si>
    <t>% de realización de verificaciones internas</t>
  </si>
  <si>
    <t>% verificaciones realizadas/planificadas</t>
  </si>
  <si>
    <t>Copias de seguridad realizadas en fecha</t>
  </si>
  <si>
    <t>PA7</t>
  </si>
  <si>
    <t>Nº de copias de seguridad planificadas  en fecha planificadas</t>
  </si>
  <si>
    <t>Nº de documentos no controlados</t>
  </si>
  <si>
    <t>Nº de documentos encontrados  que no estén reflejados en el sistema de gestión de calidad</t>
  </si>
  <si>
    <t>Puntuación obtenida en la encuesta de satisfacción</t>
  </si>
  <si>
    <t>Juan. A. Anguita</t>
  </si>
  <si>
    <t>MIVA ADHESIVOS Y PINTURAS S.L.U.</t>
  </si>
  <si>
    <t>INDUSTRIAS TITAN S.A.</t>
  </si>
  <si>
    <t>JOSE MIGUEL SAMPEDRO PEREZ</t>
  </si>
  <si>
    <t>CRISTOBAL DAVID LATORRE DE HARO</t>
  </si>
  <si>
    <t>JOSE MARTINEZ COBLER</t>
  </si>
  <si>
    <t>ANGEL LUIS AGUILAR PUCHE</t>
  </si>
  <si>
    <t>JOSE LUIS CASTRO ESPIN</t>
  </si>
  <si>
    <t>COSTES DE NO CALIDAD EXTERNOS</t>
  </si>
  <si>
    <t>COSTES NO CALIDAD INTERNOS</t>
  </si>
  <si>
    <t>COSTE DE NO CALIDAD INTERNOS</t>
  </si>
  <si>
    <t>COSTE DE NO CALIDAD EXTERNOS</t>
  </si>
  <si>
    <t>258 COMPIN FERROVIARIA, S.L.</t>
  </si>
  <si>
    <r>
      <t xml:space="preserve">249 JONATHAN LOZANO GARRIDO </t>
    </r>
    <r>
      <rPr>
        <b/>
        <sz val="14"/>
        <color rgb="FF7030A0"/>
        <rFont val="Calibri"/>
        <family val="2"/>
        <scheme val="minor"/>
      </rPr>
      <t>(P)</t>
    </r>
  </si>
  <si>
    <r>
      <t>240 TIPSA CONTRA INCENDIOS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</si>
  <si>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234 ELECTROMOTOR EYPROM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</si>
  <si>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255 HERMANOS BARBARAN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</si>
  <si>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256 EFFICOLD,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</si>
  <si>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264 ATON WORLD ENGINEERING, S.L. </t>
    </r>
    <r>
      <rPr>
        <b/>
        <sz val="14"/>
        <color rgb="FFFFFF00"/>
        <rFont val="Calibri"/>
        <family val="2"/>
        <scheme val="minor"/>
      </rPr>
      <t>(N)</t>
    </r>
  </si>
  <si>
    <t>RECHAZOS INTERNOS 2015</t>
  </si>
  <si>
    <t>RECHAZOS EXTERNOS 2015</t>
  </si>
  <si>
    <t>COSTE NO CALIDAD 2015</t>
  </si>
  <si>
    <t>INCIDNTES. CON DESPLAZAMTO A INSTALACIONES DE CLIENTES 2015</t>
  </si>
  <si>
    <t>MEDIA INTERVENCIONES CORRECTIVAS POR MAQUINA 2015</t>
  </si>
  <si>
    <t>INTERVIENCIONES CON PARADA 2015</t>
  </si>
  <si>
    <t>CUMPLIMIENTO ANUAL AUDITORIAS 2015</t>
  </si>
  <si>
    <t>% ACCIONES FUERA PLAZO 2015</t>
  </si>
  <si>
    <t>Manpower</t>
  </si>
  <si>
    <t>Becarios</t>
  </si>
  <si>
    <t>MANUEL ANGEL CHICA LOPEZ</t>
  </si>
  <si>
    <t>PRENSAS</t>
  </si>
  <si>
    <t>MANUEL CARAVANTES GARCIA</t>
  </si>
  <si>
    <t>ROSA SANCHEZ RUIZ</t>
  </si>
  <si>
    <t>ALEJANDRO ALVAREZ MESA</t>
  </si>
  <si>
    <t>ANDRES ZAMBRANA MARTINEZ</t>
  </si>
  <si>
    <t>MANUEL CASTILLO ARTERO</t>
  </si>
  <si>
    <t>TRBJOS R.P.O.E.MANPOWER</t>
  </si>
  <si>
    <t>CONTESTACIÓN DE INCIDENTES EN FECHA</t>
  </si>
  <si>
    <t>CONTESTACIÓN INC EN FECHA2015</t>
  </si>
  <si>
    <t>COPIAS DE SEGURIDAD EN FECHA</t>
  </si>
  <si>
    <t>COPIAS DE SEGURIDAD EN FECHA2015</t>
  </si>
  <si>
    <t>TASA CUMPLIMIENTO CALIBRACIONES</t>
  </si>
  <si>
    <t>TASA CUMPLIMIENTO CALIBRACIONES 2015</t>
  </si>
  <si>
    <t>Nº DE DOCUMENTOS NO CONTROLADOS</t>
  </si>
  <si>
    <t>% VERIFICACIONES INTERNAS</t>
  </si>
  <si>
    <t>MÁQUINAS CON MAYOR Nº DE O. CORRECTIVAS</t>
  </si>
  <si>
    <t>Nº DE MÁQUINAS CON PARADA PRODUCTIVA</t>
  </si>
  <si>
    <t>MÁQUINAS CON O. CORRECTIVAS</t>
  </si>
  <si>
    <t xml:space="preserve">Nº DE HORAS DE PARADA PRODUCTIVA POR MANTENMTOS CORRECTIVOS </t>
  </si>
  <si>
    <t>Nº ORDENES PLANIFICADAS Vs EJECUTADAS</t>
  </si>
  <si>
    <t>Nº ORDENES PLANIFICADAS</t>
  </si>
  <si>
    <t>Nº DE O. EJECUTADAS EN PLAZO</t>
  </si>
  <si>
    <t>Nº CORRECTIVOS DERIVADOS DE PREDICTIVOS</t>
  </si>
  <si>
    <t>Nº ORDENES PREDICTIVOS</t>
  </si>
  <si>
    <t>Nº CORRECTIVOS DERIVADOS DE PREDIC</t>
  </si>
  <si>
    <t>2015</t>
  </si>
  <si>
    <r>
      <t xml:space="preserve">261 ROSENBAUER CIANSA S.L. </t>
    </r>
    <r>
      <rPr>
        <b/>
        <sz val="14"/>
        <color rgb="FFFF0000"/>
        <rFont val="Calibri"/>
        <family val="2"/>
        <scheme val="minor"/>
      </rPr>
      <t>(L)</t>
    </r>
  </si>
  <si>
    <t>MANUEL JESUS CONDE ARJONA</t>
  </si>
  <si>
    <t>MARCOS JUAN DIAZ MELERO</t>
  </si>
  <si>
    <t>JUAN CASTILLO GARCIA</t>
  </si>
  <si>
    <t>MIGUEL BONILLA CAMARA</t>
  </si>
  <si>
    <t>ANTONIO GARIN SANTAELLA</t>
  </si>
  <si>
    <t>SALVADOR EXPOSITO HIDALGO</t>
  </si>
  <si>
    <t>MANUEL NOTARIO GARCIA</t>
  </si>
  <si>
    <t>TOTAL AÑO 2015</t>
  </si>
  <si>
    <t>MARIA DEL MAR BAREA MOZO</t>
  </si>
  <si>
    <t>ANTONIO BARRANCO GARRIDO</t>
  </si>
  <si>
    <t>MANUEL AGUILAR COLMENERO</t>
  </si>
  <si>
    <t>PROVEEDORES APROBADOS AÑOS 2015</t>
  </si>
  <si>
    <t>TOTAL PROVEEDORES APROBADOS EN 2015</t>
  </si>
  <si>
    <t>COMPARACIÓN MENSUAL VENTAS 2014/2015</t>
  </si>
  <si>
    <t>TOTAL 2014 real</t>
  </si>
  <si>
    <t>TOTAL 2015 real</t>
  </si>
  <si>
    <t>%Variación 15/14</t>
  </si>
  <si>
    <t>COMPARACIÓN ACUMULADA VENTAS 2014/2015</t>
  </si>
  <si>
    <t>ACUM.2014</t>
  </si>
  <si>
    <t>ACUM.2015</t>
  </si>
  <si>
    <t>% INCREMENTO 15/14</t>
  </si>
  <si>
    <t>PREUPUESTO 15</t>
  </si>
  <si>
    <t>EVOLUCION DE INDICADORES 2015</t>
  </si>
  <si>
    <t>FACTURACIÓN MEDIA POR OPERARIO 2015</t>
  </si>
  <si>
    <t>MEJORA PRESPTO PRODUCCIÓN 2015</t>
  </si>
  <si>
    <t>RENDIMINETO POR SECCIÓN 2015</t>
  </si>
  <si>
    <t>COMPARACIÓN REAL/PRESUPUESTO 2015</t>
  </si>
  <si>
    <t>AÑO 2015</t>
  </si>
  <si>
    <t>VENTAS POR GRUPOS DE CLIENTES AÑO 2015</t>
  </si>
  <si>
    <t>Real 2015 facturación / día</t>
  </si>
  <si>
    <t>Real 2014 facturación / día</t>
  </si>
  <si>
    <t>Objetivo 2015 facturación / día</t>
  </si>
  <si>
    <t>REAL AÑO 2014                =</t>
  </si>
  <si>
    <t>REAL AÑO 2015                =</t>
  </si>
  <si>
    <t xml:space="preserve">OBJETIVO AÑO 2015       = </t>
  </si>
  <si>
    <t xml:space="preserve">ACUMULADO AÑO 2015 = </t>
  </si>
  <si>
    <t>PRESUPUESTO 2015</t>
  </si>
  <si>
    <t>PERSONAL SOBRE LAS VENTAS</t>
  </si>
  <si>
    <t>PESONAL SOBRE LAS VENTAS</t>
  </si>
  <si>
    <t>GASTOS DE PRESONAL</t>
  </si>
  <si>
    <t>TOTAL VENTAS AÑO N-1</t>
  </si>
  <si>
    <t>TOTAL VENTAS 2015</t>
  </si>
  <si>
    <t>MANPOWER</t>
  </si>
  <si>
    <t>ERVIN GERMANY GMBH</t>
  </si>
  <si>
    <t>SATISFACCIÓN LABORAL</t>
  </si>
  <si>
    <t>REDUCCIÓN COSTES EN MEJORAS</t>
  </si>
  <si>
    <t>% REDUCCIÓN DE COSTES</t>
  </si>
  <si>
    <t>REDUCCIÓN DE COSTES EN MEJORAS</t>
  </si>
  <si>
    <t>PLANIFICADO FRENTE A PRODUCIDO</t>
  </si>
  <si>
    <t>HORAS PERDIDAS EN PLANIFICACIÓN POR RECUPERACIONES</t>
  </si>
  <si>
    <t>HORAS PERDIDAS EN PLANIFICACION POR R.</t>
  </si>
  <si>
    <t>RENDIMIENTO POR SECCIÓN (LINEA DE PINTURA)</t>
  </si>
  <si>
    <t>RENDIMIENTO POR SECCIÓN LINEA DE PINTURA</t>
  </si>
  <si>
    <t>RENDIMIENTO POR OPERARIO (O.C)</t>
  </si>
  <si>
    <t>RENDIMIENTO POR OPERARIIO (O.C)</t>
  </si>
  <si>
    <t>NIVEL DE ENTREGA O TASA DE SERVICIO GESTAMP</t>
  </si>
  <si>
    <t>NIVEL DE ENTREGA O TASA SERVICIO GESTAMP</t>
  </si>
  <si>
    <t>NIVEL DE ENTREGA O TAS SERVICIO GESTAMP</t>
  </si>
  <si>
    <t>NIVEL DE ENTREGA O TASA DE SERVICIO  GESTAMP</t>
  </si>
  <si>
    <t>HORAS PERDIDAS EN PLANIFICACION POR RECUPERACIONES</t>
  </si>
  <si>
    <t>NIVEL DE ENTREGA O TASA DE SERVICIO OTROS CLIENTES</t>
  </si>
  <si>
    <t>NIVEL DE ENTREGA O TASA SERVICIO OTROS CLIENTES</t>
  </si>
  <si>
    <t>NIVEL DE ENTREGA O TAS SERVICIO OTROS CLIENTES</t>
  </si>
  <si>
    <t>Nº DE FACTURAS NO ACEPTADAS POR CLIENTES</t>
  </si>
  <si>
    <t>NIVEL DE ENTREGA O TASA DE SERVICIO RESTO CLIENTES</t>
  </si>
  <si>
    <t>NUMERO DE FACTURAS NO ACEPTADAS POR 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</si>
</sst>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;[Red]0.00"/>
    <numFmt numFmtId="165" formatCode="0;[Red]0"/>
    <numFmt numFmtId="166" formatCode="#,##0;[Red]#,##0"/>
    <numFmt numFmtId="167" formatCode="#,##0.00\ &quot;€&quot;;[Red]#,##0.00\ &quot;€&quot;"/>
    <numFmt numFmtId="168" formatCode="#,##0.0"/>
    <numFmt numFmtId="169" formatCode="#,##0.00\ &quot;€&quot;"/>
    <numFmt numFmtId="170" formatCode="0.00000"/>
    <numFmt numFmtId="171" formatCode="_-* #,##0.00\ [$€]_-;\-* #,##0.00\ [$€]_-;_-* &quot;-&quot;??\ [$€]_-;_-@_-"/>
    <numFmt numFmtId="172" formatCode="#,##0.00\ [$€-1]"/>
    <numFmt numFmtId="173" formatCode="#,##0_ ;\-#,##0\ "/>
    <numFmt numFmtId="174" formatCode="_-* #,##0.00\ [$€-40A]_-;\-* #,##0.00\ [$€-40A]_-;_-* &quot;-&quot;??\ [$€-40A]_-;_-@_-"/>
    <numFmt numFmtId="175" formatCode="0.000%"/>
    <numFmt numFmtId="176" formatCode="0.0"/>
    <numFmt numFmtId="177" formatCode="#,##0.00;[Red]#,##0.00"/>
    <numFmt numFmtId="178" formatCode="#,##0.00_ ;[Red]\-#,##0.00\ "/>
    <numFmt numFmtId="179" formatCode="0.000"/>
    <numFmt numFmtId="180" formatCode="0.000000"/>
    <numFmt numFmtId="181" formatCode="#,##0.00\ _€"/>
  </numFmts>
  <fonts count="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Britannic Bold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u/>
      <sz val="12"/>
      <color indexed="62"/>
      <name val="Arial"/>
      <family val="2"/>
    </font>
    <font>
      <b/>
      <sz val="10"/>
      <color indexed="62"/>
      <name val="Arial"/>
      <family val="2"/>
    </font>
    <font>
      <b/>
      <sz val="12"/>
      <color indexed="6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1"/>
      <color indexed="12"/>
      <name val="Arial Narrow"/>
      <family val="2"/>
    </font>
    <font>
      <b/>
      <sz val="3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00FF0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4"/>
      <color rgb="FFFF0000"/>
      <name val="Calibri"/>
      <family val="2"/>
      <scheme val="minor"/>
    </font>
    <font>
      <b/>
      <sz val="2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b/>
      <sz val="18"/>
      <color rgb="FFFF0000"/>
      <name val="Calibri"/>
      <family val="2"/>
      <scheme val="minor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66FF33"/>
      <name val="Calibri"/>
      <family val="2"/>
      <scheme val="minor"/>
    </font>
    <font>
      <b/>
      <sz val="12"/>
      <color rgb="FFFF0000"/>
      <name val="Times New Roman"/>
      <family val="1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rgb="FFFFFF00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4"/>
      <name val="Times New Roman"/>
      <family val="1"/>
    </font>
    <font>
      <b/>
      <sz val="14"/>
      <color rgb="FF990099"/>
      <name val="Calibri"/>
      <family val="2"/>
      <scheme val="minor"/>
    </font>
    <font>
      <b/>
      <sz val="14"/>
      <color rgb="FF1E28FA"/>
      <name val="Calibri"/>
      <family val="2"/>
      <scheme val="minor"/>
    </font>
    <font>
      <sz val="12"/>
      <name val="Calibri"/>
      <family val="2"/>
      <scheme val="minor"/>
    </font>
    <font>
      <sz val="11"/>
      <color indexed="81"/>
      <name val="Tahoma"/>
      <family val="2"/>
    </font>
    <font>
      <sz val="14"/>
      <color theme="1"/>
      <name val="Calibri"/>
      <family val="2"/>
    </font>
    <font>
      <b/>
      <sz val="11"/>
      <color indexed="81"/>
      <name val="Tahoma"/>
      <family val="2"/>
    </font>
    <font>
      <b/>
      <sz val="18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name val="Wingdings"/>
      <charset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8A8E8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FF1A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5117038483843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/>
        <bgColor indexed="64"/>
      </patternFill>
    </fill>
    <fill>
      <patternFill patternType="solid">
        <fgColor theme="7" tint="0.59996337778862885"/>
        <bgColor indexed="64"/>
      </patternFill>
    </fill>
  </fills>
  <borders count="2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rgb="FF1E28FA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double">
        <color rgb="FFFF0000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/>
      <bottom/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medium">
        <color indexed="64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 style="thick">
        <color auto="1"/>
      </left>
      <right style="double">
        <color rgb="FFFF0000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thick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rgb="FF1E28FA"/>
      </bottom>
      <diagonal/>
    </border>
    <border>
      <left style="double">
        <color rgb="FFFF0000"/>
      </left>
      <right style="thick">
        <color theme="1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medium">
        <color auto="1"/>
      </top>
      <bottom style="thick">
        <color rgb="FF1E28FA"/>
      </bottom>
      <diagonal/>
    </border>
    <border>
      <left style="thick">
        <color indexed="64"/>
      </left>
      <right style="double">
        <color rgb="FFFF0000"/>
      </right>
      <top style="thick">
        <color rgb="FF1E28FA"/>
      </top>
      <bottom style="medium">
        <color indexed="64"/>
      </bottom>
      <diagonal/>
    </border>
    <border>
      <left/>
      <right/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/>
      <right style="double">
        <color rgb="FFFF0000"/>
      </right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double">
        <color rgb="FFFF0000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double">
        <color rgb="FFFF0000"/>
      </left>
      <right/>
      <top style="medium">
        <color indexed="64"/>
      </top>
      <bottom/>
      <diagonal/>
    </border>
    <border>
      <left style="thick">
        <color auto="1"/>
      </left>
      <right style="double">
        <color rgb="FFFF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FF0000"/>
      </left>
      <right style="thick">
        <color auto="1"/>
      </right>
      <top/>
      <bottom/>
      <diagonal/>
    </border>
    <border>
      <left style="double">
        <color rgb="FFFF0000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9" tint="0.39994506668294322"/>
      </left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 style="thick">
        <color theme="9" tint="0.39994506668294322"/>
      </left>
      <right/>
      <top/>
      <bottom/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9" tint="0.39994506668294322"/>
      </left>
      <right/>
      <top style="thick">
        <color theme="9" tint="0.39994506668294322"/>
      </top>
      <bottom/>
      <diagonal/>
    </border>
    <border>
      <left/>
      <right style="thick">
        <color theme="9" tint="0.39994506668294322"/>
      </right>
      <top style="thick">
        <color theme="9" tint="0.39994506668294322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14548173467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1454817346722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theme="9" tint="0.39994506668294322"/>
      </left>
      <right/>
      <top style="thick">
        <color rgb="FF00B050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rgb="FF00B050"/>
      </top>
      <bottom style="thick">
        <color theme="9" tint="0.39994506668294322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thick">
        <color auto="1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theme="9" tint="0.39994506668294322"/>
      </left>
      <right/>
      <top/>
      <bottom style="thick">
        <color theme="9" tint="0.39991454817346722"/>
      </bottom>
      <diagonal/>
    </border>
    <border>
      <left/>
      <right style="thick">
        <color theme="9" tint="0.39994506668294322"/>
      </right>
      <top/>
      <bottom style="thick">
        <color theme="9" tint="0.39991454817346722"/>
      </bottom>
      <diagonal/>
    </border>
    <border>
      <left style="thick">
        <color rgb="FF00B050"/>
      </left>
      <right/>
      <top style="thick">
        <color rgb="FF00B050"/>
      </top>
      <bottom style="thick">
        <color theme="9" tint="0.39991454817346722"/>
      </bottom>
      <diagonal/>
    </border>
    <border>
      <left/>
      <right style="thick">
        <color rgb="FF00B050"/>
      </right>
      <top style="thick">
        <color rgb="FF00B050"/>
      </top>
      <bottom style="thick">
        <color theme="9" tint="0.399914548173467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50" fillId="0" borderId="0"/>
  </cellStyleXfs>
  <cellXfs count="1960">
    <xf numFmtId="0" fontId="0" fillId="0" borderId="0" xfId="0"/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10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0" fontId="0" fillId="0" borderId="6" xfId="1" applyNumberFormat="1" applyFont="1" applyBorder="1"/>
    <xf numFmtId="10" fontId="2" fillId="0" borderId="6" xfId="1" applyNumberFormat="1" applyFont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" fontId="0" fillId="0" borderId="1" xfId="1" applyNumberFormat="1" applyFont="1" applyBorder="1"/>
    <xf numFmtId="0" fontId="5" fillId="0" borderId="1" xfId="0" applyFont="1" applyFill="1" applyBorder="1"/>
    <xf numFmtId="2" fontId="5" fillId="0" borderId="2" xfId="0" applyNumberFormat="1" applyFont="1" applyFill="1" applyBorder="1"/>
    <xf numFmtId="2" fontId="5" fillId="0" borderId="1" xfId="0" applyNumberFormat="1" applyFont="1" applyFill="1" applyBorder="1"/>
    <xf numFmtId="2" fontId="0" fillId="0" borderId="1" xfId="1" applyNumberFormat="1" applyFont="1" applyBorder="1"/>
    <xf numFmtId="164" fontId="0" fillId="0" borderId="1" xfId="1" applyNumberFormat="1" applyFont="1" applyBorder="1"/>
    <xf numFmtId="164" fontId="0" fillId="0" borderId="6" xfId="0" applyNumberFormat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164" fontId="2" fillId="0" borderId="6" xfId="0" applyNumberFormat="1" applyFont="1" applyBorder="1"/>
    <xf numFmtId="1" fontId="0" fillId="0" borderId="6" xfId="0" applyNumberFormat="1" applyBorder="1"/>
    <xf numFmtId="0" fontId="8" fillId="0" borderId="0" xfId="0" applyFont="1" applyAlignment="1">
      <alignment horizontal="center"/>
    </xf>
    <xf numFmtId="165" fontId="0" fillId="0" borderId="6" xfId="0" applyNumberFormat="1" applyBorder="1"/>
    <xf numFmtId="0" fontId="0" fillId="0" borderId="11" xfId="0" applyBorder="1"/>
    <xf numFmtId="0" fontId="0" fillId="0" borderId="13" xfId="0" applyBorder="1"/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6" xfId="0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12" xfId="0" applyNumberFormat="1" applyFont="1" applyFill="1" applyBorder="1"/>
    <xf numFmtId="164" fontId="0" fillId="0" borderId="2" xfId="0" applyNumberFormat="1" applyBorder="1"/>
    <xf numFmtId="164" fontId="0" fillId="0" borderId="1" xfId="0" applyNumberFormat="1" applyBorder="1"/>
    <xf numFmtId="164" fontId="0" fillId="0" borderId="6" xfId="1" applyNumberFormat="1" applyFont="1" applyBorder="1"/>
    <xf numFmtId="0" fontId="4" fillId="0" borderId="0" xfId="0" applyFont="1" applyFill="1" applyBorder="1" applyAlignment="1">
      <alignment horizontal="center"/>
    </xf>
    <xf numFmtId="0" fontId="0" fillId="0" borderId="0" xfId="0" applyBorder="1" applyAlignment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/>
    <xf numFmtId="0" fontId="0" fillId="0" borderId="0" xfId="0" applyBorder="1"/>
    <xf numFmtId="1" fontId="0" fillId="0" borderId="0" xfId="1" applyNumberFormat="1" applyFont="1" applyBorder="1"/>
    <xf numFmtId="165" fontId="0" fillId="0" borderId="0" xfId="0" applyNumberFormat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/>
    <xf numFmtId="164" fontId="0" fillId="0" borderId="0" xfId="1" applyNumberFormat="1" applyFont="1" applyBorder="1"/>
    <xf numFmtId="164" fontId="8" fillId="0" borderId="0" xfId="0" applyNumberFormat="1" applyFont="1" applyBorder="1"/>
    <xf numFmtId="166" fontId="0" fillId="0" borderId="1" xfId="0" applyNumberFormat="1" applyBorder="1"/>
    <xf numFmtId="166" fontId="0" fillId="0" borderId="6" xfId="1" applyNumberFormat="1" applyFont="1" applyBorder="1"/>
    <xf numFmtId="164" fontId="5" fillId="0" borderId="6" xfId="0" applyNumberFormat="1" applyFont="1" applyBorder="1"/>
    <xf numFmtId="0" fontId="8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165" fontId="0" fillId="0" borderId="1" xfId="0" applyNumberFormat="1" applyBorder="1"/>
    <xf numFmtId="0" fontId="8" fillId="0" borderId="0" xfId="0" applyFont="1" applyAlignment="1">
      <alignment horizontal="center" wrapText="1"/>
    </xf>
    <xf numFmtId="10" fontId="0" fillId="0" borderId="1" xfId="0" applyNumberFormat="1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/>
    <xf numFmtId="165" fontId="5" fillId="0" borderId="1" xfId="0" applyNumberFormat="1" applyFont="1" applyFill="1" applyBorder="1"/>
    <xf numFmtId="0" fontId="9" fillId="0" borderId="1" xfId="0" applyFont="1" applyBorder="1"/>
    <xf numFmtId="164" fontId="9" fillId="0" borderId="1" xfId="0" applyNumberFormat="1" applyFont="1" applyBorder="1"/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/>
    <xf numFmtId="0" fontId="9" fillId="0" borderId="2" xfId="0" applyFont="1" applyFill="1" applyBorder="1" applyAlignment="1">
      <alignment horizontal="left"/>
    </xf>
    <xf numFmtId="2" fontId="9" fillId="0" borderId="2" xfId="0" applyNumberFormat="1" applyFont="1" applyFill="1" applyBorder="1"/>
    <xf numFmtId="0" fontId="9" fillId="0" borderId="2" xfId="0" applyFon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10" fontId="11" fillId="0" borderId="1" xfId="0" applyNumberFormat="1" applyFont="1" applyBorder="1"/>
    <xf numFmtId="10" fontId="10" fillId="0" borderId="1" xfId="0" applyNumberFormat="1" applyFont="1" applyBorder="1"/>
    <xf numFmtId="0" fontId="11" fillId="0" borderId="1" xfId="0" applyFont="1" applyBorder="1"/>
    <xf numFmtId="2" fontId="10" fillId="0" borderId="1" xfId="0" applyNumberFormat="1" applyFont="1" applyBorder="1"/>
    <xf numFmtId="164" fontId="10" fillId="0" borderId="1" xfId="1" applyNumberFormat="1" applyFont="1" applyBorder="1"/>
    <xf numFmtId="1" fontId="10" fillId="0" borderId="1" xfId="0" applyNumberFormat="1" applyFont="1" applyBorder="1"/>
    <xf numFmtId="0" fontId="10" fillId="0" borderId="11" xfId="0" applyFont="1" applyBorder="1" applyAlignment="1">
      <alignment horizontal="center"/>
    </xf>
    <xf numFmtId="1" fontId="11" fillId="0" borderId="1" xfId="0" applyNumberFormat="1" applyFont="1" applyBorder="1"/>
    <xf numFmtId="164" fontId="11" fillId="0" borderId="1" xfId="0" applyNumberFormat="1" applyFont="1" applyBorder="1"/>
    <xf numFmtId="164" fontId="10" fillId="0" borderId="1" xfId="0" applyNumberFormat="1" applyFont="1" applyBorder="1"/>
    <xf numFmtId="166" fontId="10" fillId="0" borderId="1" xfId="0" applyNumberFormat="1" applyFont="1" applyBorder="1"/>
    <xf numFmtId="14" fontId="0" fillId="0" borderId="0" xfId="0" applyNumberFormat="1"/>
    <xf numFmtId="0" fontId="12" fillId="0" borderId="0" xfId="2"/>
    <xf numFmtId="0" fontId="13" fillId="8" borderId="0" xfId="2" applyFont="1" applyFill="1"/>
    <xf numFmtId="0" fontId="12" fillId="8" borderId="0" xfId="2" applyFill="1"/>
    <xf numFmtId="0" fontId="12" fillId="8" borderId="0" xfId="2" applyFill="1" applyAlignment="1">
      <alignment horizontal="center"/>
    </xf>
    <xf numFmtId="0" fontId="13" fillId="8" borderId="0" xfId="2" applyFont="1" applyFill="1" applyAlignment="1">
      <alignment horizontal="center"/>
    </xf>
    <xf numFmtId="0" fontId="12" fillId="0" borderId="44" xfId="2" applyBorder="1"/>
    <xf numFmtId="0" fontId="14" fillId="9" borderId="45" xfId="2" applyFont="1" applyFill="1" applyBorder="1" applyAlignment="1">
      <alignment horizontal="center"/>
    </xf>
    <xf numFmtId="0" fontId="14" fillId="9" borderId="46" xfId="2" applyFont="1" applyFill="1" applyBorder="1" applyAlignment="1">
      <alignment horizontal="center"/>
    </xf>
    <xf numFmtId="0" fontId="15" fillId="9" borderId="47" xfId="2" applyFont="1" applyFill="1" applyBorder="1" applyAlignment="1">
      <alignment horizontal="center"/>
    </xf>
    <xf numFmtId="0" fontId="15" fillId="9" borderId="47" xfId="2" applyFont="1" applyFill="1" applyBorder="1"/>
    <xf numFmtId="0" fontId="16" fillId="10" borderId="48" xfId="2" applyFont="1" applyFill="1" applyBorder="1"/>
    <xf numFmtId="2" fontId="17" fillId="0" borderId="1" xfId="2" applyNumberFormat="1" applyFont="1" applyBorder="1" applyAlignment="1">
      <alignment horizontal="center"/>
    </xf>
    <xf numFmtId="44" fontId="17" fillId="0" borderId="49" xfId="3" applyFont="1" applyBorder="1" applyAlignment="1">
      <alignment horizontal="center"/>
    </xf>
    <xf numFmtId="169" fontId="14" fillId="0" borderId="50" xfId="2" applyNumberFormat="1" applyFont="1" applyBorder="1"/>
    <xf numFmtId="44" fontId="14" fillId="0" borderId="50" xfId="3" applyFont="1" applyBorder="1"/>
    <xf numFmtId="0" fontId="16" fillId="10" borderId="51" xfId="2" applyFont="1" applyFill="1" applyBorder="1"/>
    <xf numFmtId="2" fontId="17" fillId="0" borderId="52" xfId="2" applyNumberFormat="1" applyFont="1" applyBorder="1" applyAlignment="1">
      <alignment horizontal="center"/>
    </xf>
    <xf numFmtId="0" fontId="18" fillId="11" borderId="14" xfId="2" applyFont="1" applyFill="1" applyBorder="1"/>
    <xf numFmtId="2" fontId="18" fillId="11" borderId="15" xfId="2" applyNumberFormat="1" applyFont="1" applyFill="1" applyBorder="1" applyAlignment="1">
      <alignment horizontal="center"/>
    </xf>
    <xf numFmtId="44" fontId="18" fillId="11" borderId="16" xfId="3" applyFont="1" applyFill="1" applyBorder="1" applyAlignment="1">
      <alignment horizontal="center"/>
    </xf>
    <xf numFmtId="2" fontId="18" fillId="0" borderId="0" xfId="2" applyNumberFormat="1" applyFont="1"/>
    <xf numFmtId="169" fontId="18" fillId="11" borderId="31" xfId="3" applyNumberFormat="1" applyFont="1" applyFill="1" applyBorder="1"/>
    <xf numFmtId="0" fontId="16" fillId="10" borderId="1" xfId="2" applyFont="1" applyFill="1" applyBorder="1"/>
    <xf numFmtId="10" fontId="12" fillId="0" borderId="1" xfId="2" applyNumberFormat="1" applyBorder="1"/>
    <xf numFmtId="0" fontId="16" fillId="10" borderId="6" xfId="2" applyFont="1" applyFill="1" applyBorder="1"/>
    <xf numFmtId="0" fontId="15" fillId="11" borderId="14" xfId="2" applyFont="1" applyFill="1" applyBorder="1"/>
    <xf numFmtId="10" fontId="12" fillId="0" borderId="16" xfId="2" applyNumberFormat="1" applyBorder="1"/>
    <xf numFmtId="10" fontId="12" fillId="0" borderId="0" xfId="2" applyNumberFormat="1"/>
    <xf numFmtId="49" fontId="22" fillId="0" borderId="0" xfId="2" applyNumberFormat="1" applyFont="1" applyFill="1" applyBorder="1" applyAlignment="1"/>
    <xf numFmtId="0" fontId="12" fillId="0" borderId="0" xfId="2" applyFill="1" applyBorder="1" applyAlignment="1"/>
    <xf numFmtId="0" fontId="12" fillId="12" borderId="31" xfId="2" applyNumberFormat="1" applyFill="1" applyBorder="1" applyAlignment="1">
      <alignment horizontal="center" vertical="center" wrapText="1"/>
    </xf>
    <xf numFmtId="0" fontId="20" fillId="10" borderId="11" xfId="2" applyFont="1" applyFill="1" applyBorder="1" applyAlignment="1">
      <alignment wrapText="1"/>
    </xf>
    <xf numFmtId="0" fontId="22" fillId="13" borderId="1" xfId="2" applyFont="1" applyFill="1" applyBorder="1" applyAlignment="1">
      <alignment horizontal="center" vertical="center" wrapText="1"/>
    </xf>
    <xf numFmtId="0" fontId="22" fillId="14" borderId="1" xfId="2" applyFont="1" applyFill="1" applyBorder="1" applyAlignment="1">
      <alignment horizontal="center" vertical="center" wrapText="1"/>
    </xf>
    <xf numFmtId="0" fontId="22" fillId="15" borderId="0" xfId="2" applyFont="1" applyFill="1" applyAlignment="1">
      <alignment horizontal="center" vertical="center"/>
    </xf>
    <xf numFmtId="0" fontId="22" fillId="9" borderId="0" xfId="2" applyFont="1" applyFill="1" applyAlignment="1">
      <alignment horizontal="center" vertical="center" wrapText="1" shrinkToFit="1"/>
    </xf>
    <xf numFmtId="0" fontId="22" fillId="0" borderId="0" xfId="2" applyFont="1"/>
    <xf numFmtId="170" fontId="24" fillId="0" borderId="0" xfId="2" applyNumberFormat="1" applyFont="1" applyFill="1" applyBorder="1" applyAlignment="1">
      <alignment horizontal="center"/>
    </xf>
    <xf numFmtId="170" fontId="25" fillId="0" borderId="0" xfId="2" applyNumberFormat="1" applyFont="1" applyFill="1" applyBorder="1" applyAlignment="1">
      <alignment horizontal="center"/>
    </xf>
    <xf numFmtId="0" fontId="19" fillId="0" borderId="59" xfId="2" applyNumberFormat="1" applyFont="1" applyBorder="1" applyAlignment="1">
      <alignment horizontal="center"/>
    </xf>
    <xf numFmtId="8" fontId="24" fillId="16" borderId="11" xfId="3" applyNumberFormat="1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/>
    </xf>
    <xf numFmtId="10" fontId="18" fillId="0" borderId="1" xfId="2" applyNumberFormat="1" applyFont="1" applyBorder="1" applyAlignment="1">
      <alignment horizontal="center"/>
    </xf>
    <xf numFmtId="44" fontId="26" fillId="0" borderId="0" xfId="3" applyFont="1"/>
    <xf numFmtId="8" fontId="24" fillId="17" borderId="11" xfId="3" applyNumberFormat="1" applyFont="1" applyFill="1" applyBorder="1" applyAlignment="1">
      <alignment horizontal="center" vertical="center"/>
    </xf>
    <xf numFmtId="44" fontId="22" fillId="0" borderId="1" xfId="3" applyFont="1" applyBorder="1"/>
    <xf numFmtId="44" fontId="18" fillId="0" borderId="0" xfId="3" applyFont="1"/>
    <xf numFmtId="8" fontId="24" fillId="9" borderId="11" xfId="3" applyNumberFormat="1" applyFont="1" applyFill="1" applyBorder="1" applyAlignment="1">
      <alignment horizontal="center" vertical="center"/>
    </xf>
    <xf numFmtId="8" fontId="24" fillId="14" borderId="11" xfId="3" applyNumberFormat="1" applyFont="1" applyFill="1" applyBorder="1" applyAlignment="1">
      <alignment horizontal="center" vertical="center"/>
    </xf>
    <xf numFmtId="8" fontId="24" fillId="11" borderId="11" xfId="3" applyNumberFormat="1" applyFont="1" applyFill="1" applyBorder="1" applyAlignment="1">
      <alignment horizontal="center" vertical="center"/>
    </xf>
    <xf numFmtId="8" fontId="24" fillId="10" borderId="11" xfId="3" applyNumberFormat="1" applyFont="1" applyFill="1" applyBorder="1" applyAlignment="1">
      <alignment horizontal="center" vertical="center"/>
    </xf>
    <xf numFmtId="8" fontId="24" fillId="18" borderId="11" xfId="3" applyNumberFormat="1" applyFont="1" applyFill="1" applyBorder="1" applyAlignment="1">
      <alignment horizontal="center" vertical="center"/>
    </xf>
    <xf numFmtId="8" fontId="24" fillId="19" borderId="11" xfId="3" applyNumberFormat="1" applyFont="1" applyFill="1" applyBorder="1" applyAlignment="1">
      <alignment horizontal="center" vertical="center"/>
    </xf>
    <xf numFmtId="0" fontId="12" fillId="0" borderId="0" xfId="2" applyFill="1"/>
    <xf numFmtId="8" fontId="24" fillId="20" borderId="11" xfId="3" applyNumberFormat="1" applyFont="1" applyFill="1" applyBorder="1" applyAlignment="1">
      <alignment horizontal="center" vertical="center"/>
    </xf>
    <xf numFmtId="44" fontId="26" fillId="0" borderId="0" xfId="3" applyFont="1" applyFill="1"/>
    <xf numFmtId="8" fontId="24" fillId="21" borderId="11" xfId="3" applyNumberFormat="1" applyFont="1" applyFill="1" applyBorder="1" applyAlignment="1">
      <alignment horizontal="center" vertical="center"/>
    </xf>
    <xf numFmtId="8" fontId="24" fillId="12" borderId="1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/>
    <xf numFmtId="0" fontId="12" fillId="0" borderId="0" xfId="2" applyBorder="1"/>
    <xf numFmtId="0" fontId="12" fillId="0" borderId="0" xfId="2" applyBorder="1" applyAlignment="1">
      <alignment horizontal="center" vertical="center"/>
    </xf>
    <xf numFmtId="0" fontId="25" fillId="0" borderId="0" xfId="2" applyFont="1" applyFill="1" applyBorder="1"/>
    <xf numFmtId="1" fontId="19" fillId="12" borderId="31" xfId="2" applyNumberFormat="1" applyFont="1" applyFill="1" applyBorder="1" applyAlignment="1">
      <alignment horizontal="center"/>
    </xf>
    <xf numFmtId="0" fontId="28" fillId="0" borderId="0" xfId="2" applyFont="1"/>
    <xf numFmtId="167" fontId="18" fillId="0" borderId="0" xfId="3" applyNumberFormat="1" applyFont="1"/>
    <xf numFmtId="0" fontId="18" fillId="0" borderId="0" xfId="2" applyFont="1"/>
    <xf numFmtId="0" fontId="25" fillId="0" borderId="0" xfId="2" applyFont="1"/>
    <xf numFmtId="170" fontId="24" fillId="0" borderId="0" xfId="2" applyNumberFormat="1" applyFont="1" applyFill="1" applyBorder="1" applyAlignment="1"/>
    <xf numFmtId="0" fontId="24" fillId="0" borderId="0" xfId="2" applyFont="1" applyFill="1" applyBorder="1" applyAlignment="1"/>
    <xf numFmtId="169" fontId="24" fillId="10" borderId="1" xfId="2" applyNumberFormat="1" applyFont="1" applyFill="1" applyBorder="1" applyAlignment="1">
      <alignment horizontal="center" vertical="center"/>
    </xf>
    <xf numFmtId="44" fontId="26" fillId="13" borderId="1" xfId="3" applyFont="1" applyFill="1" applyBorder="1"/>
    <xf numFmtId="0" fontId="22" fillId="15" borderId="0" xfId="2" applyFont="1" applyFill="1" applyAlignment="1">
      <alignment horizontal="center"/>
    </xf>
    <xf numFmtId="10" fontId="20" fillId="9" borderId="1" xfId="2" applyNumberFormat="1" applyFont="1" applyFill="1" applyBorder="1" applyAlignment="1">
      <alignment horizontal="center"/>
    </xf>
    <xf numFmtId="0" fontId="22" fillId="0" borderId="0" xfId="2" applyFont="1" applyFill="1"/>
    <xf numFmtId="8" fontId="26" fillId="0" borderId="0" xfId="3" applyNumberFormat="1" applyFont="1" applyFill="1"/>
    <xf numFmtId="8" fontId="18" fillId="0" borderId="0" xfId="3" applyNumberFormat="1" applyFont="1"/>
    <xf numFmtId="0" fontId="15" fillId="0" borderId="0" xfId="2" applyFont="1"/>
    <xf numFmtId="0" fontId="26" fillId="0" borderId="54" xfId="2" applyFont="1" applyBorder="1"/>
    <xf numFmtId="0" fontId="15" fillId="9" borderId="51" xfId="2" applyFont="1" applyFill="1" applyBorder="1"/>
    <xf numFmtId="0" fontId="15" fillId="9" borderId="62" xfId="2" applyFont="1" applyFill="1" applyBorder="1"/>
    <xf numFmtId="0" fontId="15" fillId="9" borderId="48" xfId="2" applyFont="1" applyFill="1" applyBorder="1"/>
    <xf numFmtId="0" fontId="26" fillId="0" borderId="0" xfId="2" applyFont="1"/>
    <xf numFmtId="10" fontId="29" fillId="16" borderId="14" xfId="2" applyNumberFormat="1" applyFont="1" applyFill="1" applyBorder="1"/>
    <xf numFmtId="0" fontId="30" fillId="0" borderId="0" xfId="2" applyFont="1"/>
    <xf numFmtId="3" fontId="30" fillId="0" borderId="0" xfId="2" applyNumberFormat="1" applyFont="1"/>
    <xf numFmtId="3" fontId="31" fillId="0" borderId="0" xfId="2" applyNumberFormat="1" applyFont="1"/>
    <xf numFmtId="3" fontId="32" fillId="0" borderId="0" xfId="2" applyNumberFormat="1" applyFont="1"/>
    <xf numFmtId="0" fontId="22" fillId="19" borderId="64" xfId="2" applyFont="1" applyFill="1" applyBorder="1" applyAlignment="1">
      <alignment horizontal="centerContinuous"/>
    </xf>
    <xf numFmtId="3" fontId="30" fillId="19" borderId="65" xfId="2" applyNumberFormat="1" applyFont="1" applyFill="1" applyBorder="1" applyAlignment="1">
      <alignment horizontal="center"/>
    </xf>
    <xf numFmtId="3" fontId="22" fillId="19" borderId="67" xfId="2" applyNumberFormat="1" applyFont="1" applyFill="1" applyBorder="1" applyAlignment="1">
      <alignment horizontal="center"/>
    </xf>
    <xf numFmtId="0" fontId="22" fillId="0" borderId="57" xfId="2" applyFont="1" applyBorder="1"/>
    <xf numFmtId="171" fontId="22" fillId="0" borderId="31" xfId="5" applyNumberFormat="1" applyFont="1" applyBorder="1"/>
    <xf numFmtId="0" fontId="22" fillId="0" borderId="60" xfId="2" applyFont="1" applyBorder="1"/>
    <xf numFmtId="171" fontId="22" fillId="0" borderId="1" xfId="5" applyNumberFormat="1" applyFont="1" applyFill="1" applyBorder="1"/>
    <xf numFmtId="2" fontId="22" fillId="0" borderId="51" xfId="2" applyNumberFormat="1" applyFont="1" applyBorder="1"/>
    <xf numFmtId="10" fontId="30" fillId="0" borderId="52" xfId="4" applyNumberFormat="1" applyFont="1" applyFill="1" applyBorder="1"/>
    <xf numFmtId="10" fontId="30" fillId="0" borderId="53" xfId="4" applyNumberFormat="1" applyFont="1" applyBorder="1"/>
    <xf numFmtId="10" fontId="22" fillId="0" borderId="31" xfId="4" applyNumberFormat="1" applyFont="1" applyBorder="1"/>
    <xf numFmtId="2" fontId="22" fillId="0" borderId="68" xfId="2" applyNumberFormat="1" applyFont="1" applyBorder="1"/>
    <xf numFmtId="44" fontId="33" fillId="0" borderId="69" xfId="6" applyFont="1" applyFill="1" applyBorder="1" applyAlignment="1">
      <alignment horizontal="right" wrapText="1"/>
    </xf>
    <xf numFmtId="44" fontId="33" fillId="0" borderId="70" xfId="6" applyFont="1" applyFill="1" applyBorder="1" applyAlignment="1">
      <alignment horizontal="right" wrapText="1"/>
    </xf>
    <xf numFmtId="3" fontId="30" fillId="0" borderId="48" xfId="2" applyNumberFormat="1" applyFont="1" applyBorder="1"/>
    <xf numFmtId="3" fontId="30" fillId="0" borderId="1" xfId="2" applyNumberFormat="1" applyFont="1" applyFill="1" applyBorder="1"/>
    <xf numFmtId="172" fontId="30" fillId="0" borderId="1" xfId="2" applyNumberFormat="1" applyFont="1" applyFill="1" applyBorder="1"/>
    <xf numFmtId="172" fontId="30" fillId="0" borderId="49" xfId="2" applyNumberFormat="1" applyFont="1" applyBorder="1"/>
    <xf numFmtId="3" fontId="22" fillId="0" borderId="31" xfId="2" applyNumberFormat="1" applyFont="1" applyBorder="1"/>
    <xf numFmtId="10" fontId="30" fillId="0" borderId="51" xfId="4" applyNumberFormat="1" applyFont="1" applyBorder="1"/>
    <xf numFmtId="10" fontId="30" fillId="0" borderId="4" xfId="4" applyNumberFormat="1" applyFont="1" applyFill="1" applyBorder="1"/>
    <xf numFmtId="10" fontId="30" fillId="0" borderId="5" xfId="4" applyNumberFormat="1" applyFont="1" applyBorder="1"/>
    <xf numFmtId="10" fontId="30" fillId="0" borderId="31" xfId="4" applyNumberFormat="1" applyFont="1" applyBorder="1"/>
    <xf numFmtId="3" fontId="30" fillId="0" borderId="0" xfId="4" applyNumberFormat="1" applyFont="1"/>
    <xf numFmtId="10" fontId="30" fillId="0" borderId="0" xfId="2" applyNumberFormat="1" applyFont="1"/>
    <xf numFmtId="168" fontId="30" fillId="0" borderId="0" xfId="2" applyNumberFormat="1" applyFont="1"/>
    <xf numFmtId="4" fontId="30" fillId="0" borderId="0" xfId="2" applyNumberFormat="1" applyFont="1"/>
    <xf numFmtId="0" fontId="30" fillId="0" borderId="0" xfId="2" applyFont="1" applyBorder="1"/>
    <xf numFmtId="3" fontId="30" fillId="0" borderId="0" xfId="2" applyNumberFormat="1" applyFont="1" applyBorder="1"/>
    <xf numFmtId="0" fontId="22" fillId="19" borderId="57" xfId="2" applyFont="1" applyFill="1" applyBorder="1" applyAlignment="1">
      <alignment horizontal="centerContinuous"/>
    </xf>
    <xf numFmtId="3" fontId="30" fillId="19" borderId="45" xfId="2" applyNumberFormat="1" applyFont="1" applyFill="1" applyBorder="1" applyAlignment="1">
      <alignment horizontal="center"/>
    </xf>
    <xf numFmtId="3" fontId="30" fillId="19" borderId="63" xfId="2" applyNumberFormat="1" applyFont="1" applyFill="1" applyBorder="1" applyAlignment="1">
      <alignment horizontal="center"/>
    </xf>
    <xf numFmtId="3" fontId="30" fillId="19" borderId="71" xfId="2" applyNumberFormat="1" applyFont="1" applyFill="1" applyBorder="1" applyAlignment="1">
      <alignment horizontal="center"/>
    </xf>
    <xf numFmtId="3" fontId="30" fillId="19" borderId="46" xfId="2" applyNumberFormat="1" applyFont="1" applyFill="1" applyBorder="1" applyAlignment="1">
      <alignment horizontal="center"/>
    </xf>
    <xf numFmtId="0" fontId="22" fillId="0" borderId="48" xfId="2" applyFont="1" applyBorder="1"/>
    <xf numFmtId="171" fontId="30" fillId="0" borderId="1" xfId="7" applyNumberFormat="1" applyFont="1" applyFill="1" applyBorder="1"/>
    <xf numFmtId="171" fontId="30" fillId="0" borderId="11" xfId="7" applyNumberFormat="1" applyFont="1" applyFill="1" applyBorder="1"/>
    <xf numFmtId="171" fontId="22" fillId="0" borderId="11" xfId="7" applyNumberFormat="1" applyFont="1" applyFill="1" applyBorder="1"/>
    <xf numFmtId="10" fontId="22" fillId="0" borderId="53" xfId="4" applyNumberFormat="1" applyFont="1" applyBorder="1"/>
    <xf numFmtId="3" fontId="22" fillId="0" borderId="48" xfId="2" applyNumberFormat="1" applyFont="1" applyBorder="1"/>
    <xf numFmtId="172" fontId="30" fillId="0" borderId="11" xfId="2" applyNumberFormat="1" applyFont="1" applyFill="1" applyBorder="1"/>
    <xf numFmtId="172" fontId="30" fillId="0" borderId="12" xfId="2" applyNumberFormat="1" applyFont="1" applyFill="1" applyBorder="1"/>
    <xf numFmtId="172" fontId="22" fillId="0" borderId="19" xfId="2" applyNumberFormat="1" applyFont="1" applyFill="1" applyBorder="1"/>
    <xf numFmtId="10" fontId="22" fillId="0" borderId="51" xfId="4" applyNumberFormat="1" applyFont="1" applyBorder="1"/>
    <xf numFmtId="10" fontId="30" fillId="0" borderId="73" xfId="4" applyNumberFormat="1" applyFont="1" applyFill="1" applyBorder="1"/>
    <xf numFmtId="2" fontId="30" fillId="0" borderId="0" xfId="2" applyNumberFormat="1" applyFont="1"/>
    <xf numFmtId="2" fontId="30" fillId="0" borderId="0" xfId="2" applyNumberFormat="1" applyFont="1" applyBorder="1"/>
    <xf numFmtId="0" fontId="31" fillId="0" borderId="0" xfId="2" applyFont="1"/>
    <xf numFmtId="3" fontId="34" fillId="0" borderId="0" xfId="2" applyNumberFormat="1" applyFont="1" applyBorder="1" applyAlignment="1">
      <alignment horizontal="centerContinuous"/>
    </xf>
    <xf numFmtId="0" fontId="31" fillId="0" borderId="0" xfId="2" applyFont="1" applyBorder="1" applyAlignment="1">
      <alignment horizontal="centerContinuous"/>
    </xf>
    <xf numFmtId="3" fontId="31" fillId="0" borderId="0" xfId="2" applyNumberFormat="1" applyFont="1" applyBorder="1" applyAlignment="1">
      <alignment horizontal="centerContinuous"/>
    </xf>
    <xf numFmtId="3" fontId="35" fillId="0" borderId="0" xfId="2" applyNumberFormat="1" applyFont="1" applyBorder="1" applyAlignment="1">
      <alignment horizontal="centerContinuous"/>
    </xf>
    <xf numFmtId="3" fontId="31" fillId="0" borderId="0" xfId="2" applyNumberFormat="1" applyFont="1" applyBorder="1"/>
    <xf numFmtId="3" fontId="36" fillId="0" borderId="0" xfId="2" applyNumberFormat="1" applyFont="1" applyBorder="1" applyAlignment="1">
      <alignment horizontal="centerContinuous"/>
    </xf>
    <xf numFmtId="2" fontId="37" fillId="0" borderId="0" xfId="2" applyNumberFormat="1" applyFont="1"/>
    <xf numFmtId="0" fontId="37" fillId="0" borderId="0" xfId="2" applyFont="1"/>
    <xf numFmtId="2" fontId="22" fillId="0" borderId="0" xfId="2" applyNumberFormat="1" applyFont="1"/>
    <xf numFmtId="3" fontId="22" fillId="0" borderId="0" xfId="2" applyNumberFormat="1" applyFont="1" applyAlignment="1">
      <alignment horizontal="center"/>
    </xf>
    <xf numFmtId="4" fontId="12" fillId="0" borderId="0" xfId="2" applyNumberFormat="1"/>
    <xf numFmtId="0" fontId="20" fillId="0" borderId="0" xfId="2" applyFont="1"/>
    <xf numFmtId="0" fontId="22" fillId="0" borderId="0" xfId="2" applyFont="1" applyBorder="1"/>
    <xf numFmtId="3" fontId="22" fillId="0" borderId="0" xfId="2" applyNumberFormat="1" applyFont="1" applyBorder="1"/>
    <xf numFmtId="0" fontId="22" fillId="0" borderId="77" xfId="2" applyFont="1" applyBorder="1"/>
    <xf numFmtId="3" fontId="22" fillId="0" borderId="77" xfId="2" applyNumberFormat="1" applyFont="1" applyBorder="1" applyAlignment="1">
      <alignment horizontal="center"/>
    </xf>
    <xf numFmtId="0" fontId="22" fillId="0" borderId="54" xfId="2" applyFont="1" applyBorder="1"/>
    <xf numFmtId="171" fontId="22" fillId="0" borderId="15" xfId="10" applyNumberFormat="1" applyFont="1" applyFill="1" applyBorder="1"/>
    <xf numFmtId="171" fontId="22" fillId="0" borderId="31" xfId="10" applyNumberFormat="1" applyFont="1" applyBorder="1"/>
    <xf numFmtId="3" fontId="22" fillId="0" borderId="78" xfId="2" applyNumberFormat="1" applyFont="1" applyBorder="1"/>
    <xf numFmtId="174" fontId="30" fillId="0" borderId="6" xfId="10" applyNumberFormat="1" applyFont="1" applyFill="1" applyBorder="1"/>
    <xf numFmtId="171" fontId="30" fillId="0" borderId="6" xfId="10" applyNumberFormat="1" applyFont="1" applyFill="1" applyBorder="1"/>
    <xf numFmtId="171" fontId="30" fillId="0" borderId="6" xfId="10" applyNumberFormat="1" applyFont="1" applyBorder="1"/>
    <xf numFmtId="171" fontId="22" fillId="0" borderId="52" xfId="10" applyNumberFormat="1" applyFont="1" applyFill="1" applyBorder="1"/>
    <xf numFmtId="3" fontId="22" fillId="0" borderId="51" xfId="2" applyNumberFormat="1" applyFont="1" applyBorder="1"/>
    <xf numFmtId="171" fontId="30" fillId="0" borderId="52" xfId="10" applyNumberFormat="1" applyFont="1" applyFill="1" applyBorder="1"/>
    <xf numFmtId="173" fontId="30" fillId="0" borderId="0" xfId="11" applyNumberFormat="1" applyFont="1"/>
    <xf numFmtId="0" fontId="30" fillId="0" borderId="0" xfId="2" applyFont="1" applyAlignment="1">
      <alignment horizontal="right"/>
    </xf>
    <xf numFmtId="0" fontId="20" fillId="0" borderId="0" xfId="2" applyFont="1" applyFill="1" applyBorder="1"/>
    <xf numFmtId="0" fontId="26" fillId="0" borderId="0" xfId="2" applyFont="1" applyFill="1" applyBorder="1"/>
    <xf numFmtId="3" fontId="30" fillId="0" borderId="0" xfId="2" applyNumberFormat="1" applyFont="1" applyFill="1" applyBorder="1"/>
    <xf numFmtId="0" fontId="22" fillId="0" borderId="0" xfId="2" applyFont="1" applyFill="1" applyBorder="1"/>
    <xf numFmtId="0" fontId="26" fillId="0" borderId="0" xfId="2" applyFont="1" applyFill="1" applyBorder="1" applyAlignment="1">
      <alignment horizontal="right"/>
    </xf>
    <xf numFmtId="0" fontId="30" fillId="0" borderId="0" xfId="2" applyFont="1" applyFill="1" applyBorder="1"/>
    <xf numFmtId="0" fontId="41" fillId="0" borderId="0" xfId="2" applyFont="1" applyFill="1" applyBorder="1" applyAlignment="1">
      <alignment horizontal="right"/>
    </xf>
    <xf numFmtId="3" fontId="22" fillId="0" borderId="0" xfId="2" applyNumberFormat="1" applyFont="1"/>
    <xf numFmtId="0" fontId="22" fillId="0" borderId="0" xfId="2" applyFont="1" applyFill="1" applyAlignment="1">
      <alignment vertical="center"/>
    </xf>
    <xf numFmtId="14" fontId="12" fillId="0" borderId="0" xfId="2" applyNumberFormat="1" applyFill="1"/>
    <xf numFmtId="0" fontId="41" fillId="0" borderId="0" xfId="2" applyFont="1" applyFill="1"/>
    <xf numFmtId="0" fontId="21" fillId="0" borderId="0" xfId="2" applyFont="1" applyFill="1"/>
    <xf numFmtId="0" fontId="26" fillId="0" borderId="0" xfId="2" applyFont="1" applyFill="1"/>
    <xf numFmtId="0" fontId="42" fillId="27" borderId="31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/>
    </xf>
    <xf numFmtId="0" fontId="41" fillId="0" borderId="0" xfId="2" applyFont="1" applyFill="1" applyBorder="1"/>
    <xf numFmtId="0" fontId="26" fillId="0" borderId="0" xfId="2" applyFont="1" applyFill="1" applyAlignment="1"/>
    <xf numFmtId="0" fontId="20" fillId="0" borderId="0" xfId="2" applyFont="1" applyFill="1" applyAlignment="1"/>
    <xf numFmtId="0" fontId="41" fillId="0" borderId="79" xfId="2" applyFont="1" applyFill="1" applyBorder="1"/>
    <xf numFmtId="0" fontId="41" fillId="0" borderId="81" xfId="2" applyFont="1" applyFill="1" applyBorder="1"/>
    <xf numFmtId="0" fontId="41" fillId="0" borderId="82" xfId="2" applyFont="1" applyFill="1" applyBorder="1"/>
    <xf numFmtId="0" fontId="26" fillId="0" borderId="50" xfId="2" applyFont="1" applyFill="1" applyBorder="1"/>
    <xf numFmtId="0" fontId="20" fillId="0" borderId="0" xfId="2" applyFont="1" applyFill="1"/>
    <xf numFmtId="0" fontId="41" fillId="0" borderId="83" xfId="2" applyFont="1" applyFill="1" applyBorder="1"/>
    <xf numFmtId="0" fontId="14" fillId="0" borderId="0" xfId="2" applyFont="1"/>
    <xf numFmtId="0" fontId="17" fillId="0" borderId="0" xfId="2" applyFont="1"/>
    <xf numFmtId="0" fontId="12" fillId="0" borderId="0" xfId="2" applyBorder="1" applyAlignment="1">
      <alignment horizontal="right"/>
    </xf>
    <xf numFmtId="0" fontId="18" fillId="0" borderId="1" xfId="2" applyFont="1" applyBorder="1" applyAlignment="1">
      <alignment horizontal="center"/>
    </xf>
    <xf numFmtId="0" fontId="18" fillId="0" borderId="48" xfId="2" applyFont="1" applyBorder="1" applyAlignment="1"/>
    <xf numFmtId="0" fontId="12" fillId="0" borderId="1" xfId="2" applyBorder="1"/>
    <xf numFmtId="0" fontId="18" fillId="0" borderId="1" xfId="2" applyFont="1" applyBorder="1"/>
    <xf numFmtId="2" fontId="18" fillId="0" borderId="49" xfId="2" applyNumberFormat="1" applyFont="1" applyBorder="1"/>
    <xf numFmtId="0" fontId="12" fillId="0" borderId="48" xfId="2" applyBorder="1"/>
    <xf numFmtId="0" fontId="12" fillId="0" borderId="51" xfId="2" applyBorder="1"/>
    <xf numFmtId="0" fontId="12" fillId="0" borderId="52" xfId="2" applyBorder="1"/>
    <xf numFmtId="0" fontId="18" fillId="0" borderId="52" xfId="2" applyFont="1" applyBorder="1" applyAlignment="1">
      <alignment horizontal="center"/>
    </xf>
    <xf numFmtId="0" fontId="18" fillId="0" borderId="52" xfId="2" applyFont="1" applyBorder="1"/>
    <xf numFmtId="2" fontId="18" fillId="0" borderId="53" xfId="2" applyNumberFormat="1" applyFont="1" applyBorder="1"/>
    <xf numFmtId="0" fontId="14" fillId="24" borderId="0" xfId="2" applyFont="1" applyFill="1" applyAlignment="1">
      <alignment horizontal="center"/>
    </xf>
    <xf numFmtId="0" fontId="14" fillId="8" borderId="0" xfId="2" applyFont="1" applyFill="1" applyAlignment="1">
      <alignment horizontal="center"/>
    </xf>
    <xf numFmtId="0" fontId="14" fillId="28" borderId="0" xfId="2" applyFont="1" applyFill="1" applyAlignment="1">
      <alignment horizontal="center"/>
    </xf>
    <xf numFmtId="0" fontId="14" fillId="18" borderId="0" xfId="2" applyFont="1" applyFill="1" applyAlignment="1">
      <alignment horizontal="center"/>
    </xf>
    <xf numFmtId="0" fontId="14" fillId="10" borderId="0" xfId="2" applyFont="1" applyFill="1" applyAlignment="1">
      <alignment horizontal="center"/>
    </xf>
    <xf numFmtId="0" fontId="14" fillId="11" borderId="0" xfId="2" applyFont="1" applyFill="1" applyAlignment="1">
      <alignment horizontal="center"/>
    </xf>
    <xf numFmtId="0" fontId="14" fillId="26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4" fillId="17" borderId="0" xfId="2" applyFont="1" applyFill="1" applyAlignment="1">
      <alignment horizontal="center"/>
    </xf>
    <xf numFmtId="0" fontId="14" fillId="16" borderId="0" xfId="2" applyFont="1" applyFill="1" applyAlignment="1">
      <alignment horizontal="center"/>
    </xf>
    <xf numFmtId="0" fontId="14" fillId="29" borderId="0" xfId="2" applyFont="1" applyFill="1" applyAlignment="1">
      <alignment horizontal="center"/>
    </xf>
    <xf numFmtId="0" fontId="14" fillId="22" borderId="0" xfId="2" applyFont="1" applyFill="1" applyAlignment="1">
      <alignment horizontal="center"/>
    </xf>
    <xf numFmtId="0" fontId="14" fillId="25" borderId="0" xfId="2" applyFont="1" applyFill="1" applyAlignment="1">
      <alignment horizontal="center"/>
    </xf>
    <xf numFmtId="0" fontId="14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14" fillId="24" borderId="67" xfId="2" applyFont="1" applyFill="1" applyBorder="1" applyAlignment="1">
      <alignment horizontal="center"/>
    </xf>
    <xf numFmtId="0" fontId="14" fillId="8" borderId="67" xfId="2" applyFont="1" applyFill="1" applyBorder="1" applyAlignment="1">
      <alignment horizontal="center"/>
    </xf>
    <xf numFmtId="0" fontId="14" fillId="28" borderId="67" xfId="2" applyFont="1" applyFill="1" applyBorder="1" applyAlignment="1">
      <alignment horizontal="center"/>
    </xf>
    <xf numFmtId="0" fontId="14" fillId="18" borderId="64" xfId="2" applyFont="1" applyFill="1" applyBorder="1" applyAlignment="1">
      <alignment horizontal="center"/>
    </xf>
    <xf numFmtId="0" fontId="14" fillId="18" borderId="67" xfId="2" applyFont="1" applyFill="1" applyBorder="1" applyAlignment="1">
      <alignment horizontal="center"/>
    </xf>
    <xf numFmtId="0" fontId="14" fillId="10" borderId="64" xfId="2" applyFont="1" applyFill="1" applyBorder="1" applyAlignment="1">
      <alignment horizontal="center"/>
    </xf>
    <xf numFmtId="0" fontId="14" fillId="10" borderId="67" xfId="2" applyFont="1" applyFill="1" applyBorder="1" applyAlignment="1">
      <alignment horizontal="center"/>
    </xf>
    <xf numFmtId="0" fontId="14" fillId="11" borderId="67" xfId="2" applyFont="1" applyFill="1" applyBorder="1" applyAlignment="1">
      <alignment horizontal="center"/>
    </xf>
    <xf numFmtId="0" fontId="14" fillId="26" borderId="67" xfId="2" applyFont="1" applyFill="1" applyBorder="1" applyAlignment="1">
      <alignment horizontal="center"/>
    </xf>
    <xf numFmtId="0" fontId="14" fillId="9" borderId="67" xfId="2" applyFont="1" applyFill="1" applyBorder="1" applyAlignment="1">
      <alignment horizontal="center"/>
    </xf>
    <xf numFmtId="0" fontId="14" fillId="17" borderId="67" xfId="2" applyFont="1" applyFill="1" applyBorder="1" applyAlignment="1">
      <alignment horizontal="center"/>
    </xf>
    <xf numFmtId="0" fontId="14" fillId="16" borderId="67" xfId="2" applyFont="1" applyFill="1" applyBorder="1" applyAlignment="1">
      <alignment horizontal="center"/>
    </xf>
    <xf numFmtId="0" fontId="14" fillId="29" borderId="67" xfId="2" applyFont="1" applyFill="1" applyBorder="1" applyAlignment="1">
      <alignment horizontal="center"/>
    </xf>
    <xf numFmtId="0" fontId="14" fillId="22" borderId="67" xfId="2" applyFont="1" applyFill="1" applyBorder="1" applyAlignment="1">
      <alignment horizontal="center"/>
    </xf>
    <xf numFmtId="0" fontId="12" fillId="25" borderId="67" xfId="2" applyFill="1" applyBorder="1"/>
    <xf numFmtId="0" fontId="20" fillId="0" borderId="0" xfId="2" applyFont="1" applyAlignment="1">
      <alignment horizontal="right"/>
    </xf>
    <xf numFmtId="9" fontId="22" fillId="24" borderId="43" xfId="4" applyFont="1" applyFill="1" applyBorder="1" applyAlignment="1">
      <alignment horizontal="center"/>
    </xf>
    <xf numFmtId="9" fontId="22" fillId="8" borderId="43" xfId="4" applyFont="1" applyFill="1" applyBorder="1" applyAlignment="1">
      <alignment horizontal="center"/>
    </xf>
    <xf numFmtId="9" fontId="22" fillId="28" borderId="43" xfId="4" applyFont="1" applyFill="1" applyBorder="1" applyAlignment="1">
      <alignment horizontal="center"/>
    </xf>
    <xf numFmtId="10" fontId="22" fillId="18" borderId="84" xfId="4" applyNumberFormat="1" applyFont="1" applyFill="1" applyBorder="1" applyAlignment="1">
      <alignment horizontal="center"/>
    </xf>
    <xf numFmtId="10" fontId="22" fillId="18" borderId="43" xfId="4" applyNumberFormat="1" applyFont="1" applyFill="1" applyBorder="1" applyAlignment="1">
      <alignment horizontal="center"/>
    </xf>
    <xf numFmtId="10" fontId="22" fillId="10" borderId="43" xfId="4" applyNumberFormat="1" applyFont="1" applyFill="1" applyBorder="1" applyAlignment="1">
      <alignment horizontal="center"/>
    </xf>
    <xf numFmtId="10" fontId="22" fillId="11" borderId="43" xfId="4" applyNumberFormat="1" applyFont="1" applyFill="1" applyBorder="1" applyAlignment="1">
      <alignment horizontal="center"/>
    </xf>
    <xf numFmtId="9" fontId="22" fillId="26" borderId="43" xfId="4" applyFont="1" applyFill="1" applyBorder="1" applyAlignment="1">
      <alignment horizontal="center"/>
    </xf>
    <xf numFmtId="9" fontId="22" fillId="9" borderId="43" xfId="4" applyFont="1" applyFill="1" applyBorder="1" applyAlignment="1"/>
    <xf numFmtId="9" fontId="22" fillId="9" borderId="43" xfId="4" applyFont="1" applyFill="1" applyBorder="1"/>
    <xf numFmtId="9" fontId="22" fillId="17" borderId="43" xfId="4" applyFont="1" applyFill="1" applyBorder="1"/>
    <xf numFmtId="9" fontId="22" fillId="16" borderId="43" xfId="4" applyFont="1" applyFill="1" applyBorder="1"/>
    <xf numFmtId="9" fontId="22" fillId="29" borderId="43" xfId="4" applyFont="1" applyFill="1" applyBorder="1"/>
    <xf numFmtId="9" fontId="22" fillId="22" borderId="43" xfId="4" applyFont="1" applyFill="1" applyBorder="1"/>
    <xf numFmtId="9" fontId="22" fillId="25" borderId="43" xfId="4" applyFont="1" applyFill="1" applyBorder="1" applyAlignment="1">
      <alignment horizontal="center"/>
    </xf>
    <xf numFmtId="0" fontId="8" fillId="30" borderId="20" xfId="0" applyFont="1" applyFill="1" applyBorder="1"/>
    <xf numFmtId="0" fontId="8" fillId="31" borderId="21" xfId="0" applyFont="1" applyFill="1" applyBorder="1"/>
    <xf numFmtId="0" fontId="8" fillId="31" borderId="21" xfId="0" applyFont="1" applyFill="1" applyBorder="1" applyAlignment="1">
      <alignment horizontal="center"/>
    </xf>
    <xf numFmtId="0" fontId="8" fillId="31" borderId="22" xfId="0" applyFont="1" applyFill="1" applyBorder="1" applyAlignment="1">
      <alignment horizontal="center"/>
    </xf>
    <xf numFmtId="0" fontId="20" fillId="19" borderId="54" xfId="2" applyFont="1" applyFill="1" applyBorder="1" applyAlignment="1">
      <alignment horizontal="centerContinuous"/>
    </xf>
    <xf numFmtId="3" fontId="20" fillId="19" borderId="15" xfId="2" applyNumberFormat="1" applyFont="1" applyFill="1" applyBorder="1" applyAlignment="1">
      <alignment horizontal="center"/>
    </xf>
    <xf numFmtId="0" fontId="20" fillId="19" borderId="15" xfId="2" applyFont="1" applyFill="1" applyBorder="1" applyAlignment="1">
      <alignment horizontal="center"/>
    </xf>
    <xf numFmtId="3" fontId="20" fillId="19" borderId="74" xfId="2" applyNumberFormat="1" applyFont="1" applyFill="1" applyBorder="1" applyAlignment="1">
      <alignment horizontal="center"/>
    </xf>
    <xf numFmtId="3" fontId="20" fillId="19" borderId="54" xfId="2" applyNumberFormat="1" applyFont="1" applyFill="1" applyBorder="1" applyAlignment="1">
      <alignment horizontal="center"/>
    </xf>
    <xf numFmtId="3" fontId="20" fillId="19" borderId="16" xfId="2" applyNumberFormat="1" applyFont="1" applyFill="1" applyBorder="1" applyAlignment="1">
      <alignment horizontal="center"/>
    </xf>
    <xf numFmtId="0" fontId="20" fillId="0" borderId="57" xfId="5" applyFont="1" applyBorder="1"/>
    <xf numFmtId="0" fontId="20" fillId="0" borderId="48" xfId="5" applyFont="1" applyBorder="1"/>
    <xf numFmtId="0" fontId="20" fillId="0" borderId="60" xfId="5" applyFont="1" applyBorder="1"/>
    <xf numFmtId="0" fontId="20" fillId="19" borderId="14" xfId="5" applyFont="1" applyFill="1" applyBorder="1"/>
    <xf numFmtId="0" fontId="20" fillId="19" borderId="16" xfId="5" applyFont="1" applyFill="1" applyBorder="1"/>
    <xf numFmtId="0" fontId="20" fillId="0" borderId="44" xfId="5" applyFont="1" applyBorder="1"/>
    <xf numFmtId="0" fontId="20" fillId="0" borderId="45" xfId="5" applyFont="1" applyBorder="1"/>
    <xf numFmtId="0" fontId="20" fillId="0" borderId="76" xfId="5" applyFont="1" applyFill="1" applyBorder="1"/>
    <xf numFmtId="0" fontId="20" fillId="0" borderId="51" xfId="5" applyFont="1" applyBorder="1"/>
    <xf numFmtId="0" fontId="20" fillId="0" borderId="0" xfId="5" applyFont="1" applyBorder="1"/>
    <xf numFmtId="44" fontId="26" fillId="0" borderId="2" xfId="3" applyFont="1" applyBorder="1"/>
    <xf numFmtId="0" fontId="14" fillId="31" borderId="27" xfId="2" applyFont="1" applyFill="1" applyBorder="1" applyAlignment="1">
      <alignment horizontal="center" vertical="center" wrapText="1" shrinkToFit="1"/>
    </xf>
    <xf numFmtId="8" fontId="24" fillId="37" borderId="11" xfId="3" applyNumberFormat="1" applyFont="1" applyFill="1" applyBorder="1" applyAlignment="1">
      <alignment horizontal="center" vertical="center"/>
    </xf>
    <xf numFmtId="169" fontId="26" fillId="0" borderId="2" xfId="3" applyNumberFormat="1" applyFont="1" applyBorder="1"/>
    <xf numFmtId="44" fontId="18" fillId="0" borderId="0" xfId="3" applyFont="1" applyAlignment="1">
      <alignment horizontal="center"/>
    </xf>
    <xf numFmtId="0" fontId="11" fillId="32" borderId="1" xfId="0" applyFont="1" applyFill="1" applyBorder="1"/>
    <xf numFmtId="0" fontId="10" fillId="32" borderId="1" xfId="0" applyFont="1" applyFill="1" applyBorder="1"/>
    <xf numFmtId="10" fontId="11" fillId="32" borderId="1" xfId="1" applyNumberFormat="1" applyFont="1" applyFill="1" applyBorder="1"/>
    <xf numFmtId="0" fontId="10" fillId="31" borderId="23" xfId="0" applyFont="1" applyFill="1" applyBorder="1"/>
    <xf numFmtId="10" fontId="1" fillId="0" borderId="1" xfId="1" applyNumberFormat="1" applyFont="1" applyBorder="1"/>
    <xf numFmtId="9" fontId="10" fillId="0" borderId="1" xfId="1" applyFont="1" applyBorder="1"/>
    <xf numFmtId="10" fontId="10" fillId="0" borderId="1" xfId="1" applyNumberFormat="1" applyFont="1" applyBorder="1"/>
    <xf numFmtId="10" fontId="0" fillId="0" borderId="1" xfId="1" applyNumberFormat="1" applyFont="1" applyBorder="1"/>
    <xf numFmtId="9" fontId="0" fillId="0" borderId="6" xfId="1" applyFont="1" applyBorder="1"/>
    <xf numFmtId="9" fontId="0" fillId="0" borderId="1" xfId="1" applyNumberFormat="1" applyFont="1" applyBorder="1"/>
    <xf numFmtId="9" fontId="10" fillId="0" borderId="1" xfId="1" applyNumberFormat="1" applyFont="1" applyBorder="1"/>
    <xf numFmtId="9" fontId="0" fillId="0" borderId="6" xfId="1" applyNumberFormat="1" applyFont="1" applyBorder="1"/>
    <xf numFmtId="10" fontId="10" fillId="0" borderId="12" xfId="1" applyNumberFormat="1" applyFont="1" applyBorder="1"/>
    <xf numFmtId="10" fontId="5" fillId="0" borderId="6" xfId="1" applyNumberFormat="1" applyFont="1" applyBorder="1"/>
    <xf numFmtId="10" fontId="44" fillId="0" borderId="1" xfId="1" applyNumberFormat="1" applyFont="1" applyBorder="1"/>
    <xf numFmtId="4" fontId="9" fillId="0" borderId="1" xfId="0" applyNumberFormat="1" applyFont="1" applyFill="1" applyBorder="1"/>
    <xf numFmtId="10" fontId="20" fillId="0" borderId="46" xfId="1" applyNumberFormat="1" applyFont="1" applyBorder="1"/>
    <xf numFmtId="4" fontId="30" fillId="0" borderId="2" xfId="7" applyNumberFormat="1" applyFont="1" applyFill="1" applyBorder="1"/>
    <xf numFmtId="4" fontId="22" fillId="0" borderId="72" xfId="7" applyNumberFormat="1" applyFont="1" applyBorder="1"/>
    <xf numFmtId="0" fontId="26" fillId="26" borderId="31" xfId="2" applyFont="1" applyFill="1" applyBorder="1" applyAlignment="1" applyProtection="1">
      <alignment horizontal="center"/>
    </xf>
    <xf numFmtId="0" fontId="26" fillId="5" borderId="31" xfId="2" applyFont="1" applyFill="1" applyBorder="1" applyAlignment="1" applyProtection="1">
      <alignment horizontal="center"/>
    </xf>
    <xf numFmtId="0" fontId="26" fillId="26" borderId="31" xfId="2" applyFont="1" applyFill="1" applyBorder="1" applyAlignment="1" applyProtection="1">
      <alignment horizontal="center" vertical="center"/>
    </xf>
    <xf numFmtId="0" fontId="41" fillId="11" borderId="80" xfId="2" applyFont="1" applyFill="1" applyBorder="1" applyProtection="1"/>
    <xf numFmtId="0" fontId="41" fillId="33" borderId="80" xfId="2" applyFont="1" applyFill="1" applyBorder="1" applyProtection="1"/>
    <xf numFmtId="9" fontId="41" fillId="11" borderId="81" xfId="2" applyNumberFormat="1" applyFont="1" applyFill="1" applyBorder="1" applyProtection="1"/>
    <xf numFmtId="0" fontId="41" fillId="11" borderId="81" xfId="2" applyFont="1" applyFill="1" applyBorder="1" applyProtection="1"/>
    <xf numFmtId="0" fontId="41" fillId="11" borderId="59" xfId="2" applyFont="1" applyFill="1" applyBorder="1" applyProtection="1"/>
    <xf numFmtId="0" fontId="26" fillId="11" borderId="31" xfId="2" applyFont="1" applyFill="1" applyBorder="1" applyProtection="1"/>
    <xf numFmtId="0" fontId="26" fillId="33" borderId="31" xfId="2" applyFont="1" applyFill="1" applyBorder="1" applyProtection="1"/>
    <xf numFmtId="0" fontId="21" fillId="0" borderId="0" xfId="2" applyFont="1" applyFill="1" applyProtection="1"/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 wrapText="1"/>
    </xf>
    <xf numFmtId="0" fontId="26" fillId="26" borderId="56" xfId="2" applyFont="1" applyFill="1" applyBorder="1" applyAlignment="1" applyProtection="1">
      <alignment horizontal="center" wrapText="1"/>
    </xf>
    <xf numFmtId="0" fontId="26" fillId="26" borderId="54" xfId="2" applyNumberFormat="1" applyFont="1" applyFill="1" applyBorder="1" applyAlignment="1" applyProtection="1">
      <alignment horizontal="center"/>
    </xf>
    <xf numFmtId="0" fontId="38" fillId="0" borderId="0" xfId="2" applyFont="1"/>
    <xf numFmtId="0" fontId="39" fillId="10" borderId="31" xfId="2" applyFont="1" applyFill="1" applyBorder="1"/>
    <xf numFmtId="0" fontId="39" fillId="10" borderId="31" xfId="2" applyFont="1" applyFill="1" applyBorder="1" applyAlignment="1">
      <alignment horizontal="center" vertical="center"/>
    </xf>
    <xf numFmtId="0" fontId="39" fillId="10" borderId="31" xfId="2" applyFont="1" applyFill="1" applyBorder="1" applyAlignment="1">
      <alignment horizontal="center" vertical="center" wrapText="1"/>
    </xf>
    <xf numFmtId="0" fontId="40" fillId="10" borderId="31" xfId="2" applyFont="1" applyFill="1" applyBorder="1" applyAlignment="1">
      <alignment vertical="center"/>
    </xf>
    <xf numFmtId="0" fontId="38" fillId="0" borderId="0" xfId="2" applyFont="1" applyFill="1"/>
    <xf numFmtId="0" fontId="38" fillId="10" borderId="31" xfId="2" applyFont="1" applyFill="1" applyBorder="1" applyAlignment="1">
      <alignment vertical="center"/>
    </xf>
    <xf numFmtId="4" fontId="8" fillId="4" borderId="28" xfId="0" applyNumberFormat="1" applyFont="1" applyFill="1" applyBorder="1" applyProtection="1"/>
    <xf numFmtId="4" fontId="8" fillId="41" borderId="29" xfId="0" applyNumberFormat="1" applyFont="1" applyFill="1" applyBorder="1" applyProtection="1"/>
    <xf numFmtId="4" fontId="8" fillId="4" borderId="30" xfId="0" applyNumberFormat="1" applyFont="1" applyFill="1" applyBorder="1" applyProtection="1"/>
    <xf numFmtId="0" fontId="0" fillId="0" borderId="0" xfId="0" applyProtection="1"/>
    <xf numFmtId="4" fontId="8" fillId="0" borderId="42" xfId="0" applyNumberFormat="1" applyFont="1" applyFill="1" applyBorder="1" applyProtection="1"/>
    <xf numFmtId="4" fontId="8" fillId="0" borderId="30" xfId="0" applyNumberFormat="1" applyFont="1" applyFill="1" applyBorder="1" applyProtection="1"/>
    <xf numFmtId="4" fontId="10" fillId="41" borderId="29" xfId="0" applyNumberFormat="1" applyFont="1" applyFill="1" applyBorder="1" applyProtection="1"/>
    <xf numFmtId="4" fontId="8" fillId="0" borderId="28" xfId="0" applyNumberFormat="1" applyFont="1" applyBorder="1" applyProtection="1"/>
    <xf numFmtId="4" fontId="8" fillId="0" borderId="92" xfId="0" applyNumberFormat="1" applyFont="1" applyBorder="1" applyProtection="1"/>
    <xf numFmtId="10" fontId="0" fillId="0" borderId="30" xfId="0" applyNumberFormat="1" applyBorder="1" applyProtection="1"/>
    <xf numFmtId="0" fontId="0" fillId="0" borderId="30" xfId="0" applyBorder="1" applyAlignment="1" applyProtection="1">
      <alignment horizontal="center"/>
    </xf>
    <xf numFmtId="0" fontId="55" fillId="38" borderId="31" xfId="2" applyFont="1" applyFill="1" applyBorder="1" applyAlignment="1">
      <alignment horizontal="center" vertical="center"/>
    </xf>
    <xf numFmtId="10" fontId="40" fillId="46" borderId="45" xfId="4" applyNumberFormat="1" applyFont="1" applyFill="1" applyBorder="1" applyAlignment="1">
      <alignment horizontal="center" vertical="center"/>
    </xf>
    <xf numFmtId="10" fontId="40" fillId="46" borderId="1" xfId="4" applyNumberFormat="1" applyFont="1" applyFill="1" applyBorder="1" applyAlignment="1">
      <alignment horizontal="center" vertical="center"/>
    </xf>
    <xf numFmtId="10" fontId="56" fillId="46" borderId="1" xfId="4" applyNumberFormat="1" applyFont="1" applyFill="1" applyBorder="1" applyAlignment="1">
      <alignment horizontal="center" vertical="center"/>
    </xf>
    <xf numFmtId="10" fontId="38" fillId="46" borderId="1" xfId="4" applyNumberFormat="1" applyFont="1" applyFill="1" applyBorder="1" applyAlignment="1">
      <alignment horizontal="center" vertical="center"/>
    </xf>
    <xf numFmtId="10" fontId="38" fillId="46" borderId="1" xfId="2" applyNumberFormat="1" applyFont="1" applyFill="1" applyBorder="1" applyAlignment="1">
      <alignment horizontal="center" vertical="center"/>
    </xf>
    <xf numFmtId="10" fontId="40" fillId="46" borderId="52" xfId="4" applyNumberFormat="1" applyFont="1" applyFill="1" applyBorder="1" applyAlignment="1">
      <alignment horizontal="center" vertical="center"/>
    </xf>
    <xf numFmtId="10" fontId="40" fillId="47" borderId="46" xfId="2" applyNumberFormat="1" applyFont="1" applyFill="1" applyBorder="1" applyAlignment="1">
      <alignment horizontal="center" vertical="center"/>
    </xf>
    <xf numFmtId="10" fontId="40" fillId="47" borderId="49" xfId="2" applyNumberFormat="1" applyFont="1" applyFill="1" applyBorder="1" applyAlignment="1">
      <alignment horizontal="center" vertical="center"/>
    </xf>
    <xf numFmtId="10" fontId="38" fillId="47" borderId="49" xfId="2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8" fillId="36" borderId="27" xfId="0" applyNumberFormat="1" applyFont="1" applyFill="1" applyBorder="1" applyProtection="1">
      <protection locked="0"/>
    </xf>
    <xf numFmtId="4" fontId="8" fillId="36" borderId="27" xfId="0" applyNumberFormat="1" applyFont="1" applyFill="1" applyBorder="1" applyProtection="1">
      <protection locked="0"/>
    </xf>
    <xf numFmtId="4" fontId="8" fillId="0" borderId="27" xfId="0" applyNumberFormat="1" applyFont="1" applyBorder="1" applyProtection="1">
      <protection locked="0"/>
    </xf>
    <xf numFmtId="0" fontId="24" fillId="34" borderId="32" xfId="2" applyFont="1" applyFill="1" applyBorder="1" applyAlignment="1" applyProtection="1">
      <alignment horizontal="center" vertical="center"/>
      <protection locked="0"/>
    </xf>
    <xf numFmtId="0" fontId="24" fillId="34" borderId="27" xfId="2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8" fillId="0" borderId="0" xfId="2" applyFont="1" applyFill="1" applyBorder="1" applyProtection="1">
      <protection locked="0"/>
    </xf>
    <xf numFmtId="0" fontId="52" fillId="0" borderId="0" xfId="2" applyFont="1" applyFill="1" applyBorder="1" applyAlignment="1" applyProtection="1">
      <alignment horizontal="center" vertical="center"/>
      <protection locked="0"/>
    </xf>
    <xf numFmtId="0" fontId="52" fillId="0" borderId="0" xfId="2" applyFont="1" applyFill="1" applyBorder="1" applyAlignment="1" applyProtection="1">
      <alignment vertical="center"/>
      <protection locked="0"/>
    </xf>
    <xf numFmtId="0" fontId="40" fillId="38" borderId="33" xfId="2" applyFont="1" applyFill="1" applyBorder="1" applyAlignment="1" applyProtection="1">
      <alignment horizontal="center" vertical="center"/>
      <protection locked="0"/>
    </xf>
    <xf numFmtId="0" fontId="40" fillId="44" borderId="33" xfId="2" applyFont="1" applyFill="1" applyBorder="1" applyAlignment="1" applyProtection="1">
      <alignment horizontal="center" vertical="center"/>
      <protection locked="0"/>
    </xf>
    <xf numFmtId="0" fontId="40" fillId="32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0" fontId="59" fillId="38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Protection="1">
      <protection locked="0"/>
    </xf>
    <xf numFmtId="0" fontId="58" fillId="0" borderId="87" xfId="2" applyFont="1" applyFill="1" applyBorder="1" applyAlignment="1" applyProtection="1">
      <alignment horizontal="center" vertical="center"/>
      <protection locked="0"/>
    </xf>
    <xf numFmtId="0" fontId="58" fillId="0" borderId="89" xfId="2" applyFont="1" applyFill="1" applyBorder="1" applyAlignment="1" applyProtection="1">
      <alignment horizontal="center" vertical="center"/>
      <protection locked="0"/>
    </xf>
    <xf numFmtId="0" fontId="40" fillId="38" borderId="27" xfId="2" applyFont="1" applyFill="1" applyBorder="1" applyAlignment="1" applyProtection="1">
      <alignment horizontal="center" vertical="center"/>
      <protection locked="0"/>
    </xf>
    <xf numFmtId="0" fontId="40" fillId="37" borderId="27" xfId="2" applyFont="1" applyFill="1" applyBorder="1" applyAlignment="1" applyProtection="1">
      <alignment horizontal="center" vertical="center"/>
      <protection locked="0"/>
    </xf>
    <xf numFmtId="0" fontId="60" fillId="45" borderId="27" xfId="0" applyFont="1" applyFill="1" applyBorder="1" applyAlignment="1" applyProtection="1">
      <alignment horizontal="center" vertical="center"/>
      <protection locked="0"/>
    </xf>
    <xf numFmtId="10" fontId="39" fillId="0" borderId="0" xfId="4" applyNumberFormat="1" applyFont="1" applyFill="1" applyBorder="1" applyAlignment="1" applyProtection="1">
      <alignment horizontal="center" vertical="center"/>
    </xf>
    <xf numFmtId="0" fontId="39" fillId="43" borderId="27" xfId="2" applyFont="1" applyFill="1" applyBorder="1" applyAlignment="1" applyProtection="1">
      <alignment horizontal="center" vertical="center"/>
    </xf>
    <xf numFmtId="4" fontId="0" fillId="0" borderId="30" xfId="0" applyNumberFormat="1" applyFont="1" applyBorder="1" applyAlignment="1" applyProtection="1">
      <alignment horizontal="center"/>
    </xf>
    <xf numFmtId="10" fontId="8" fillId="0" borderId="91" xfId="0" applyNumberFormat="1" applyFont="1" applyBorder="1" applyAlignment="1" applyProtection="1">
      <alignment horizontal="center"/>
    </xf>
    <xf numFmtId="4" fontId="0" fillId="0" borderId="56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92" xfId="0" applyNumberFormat="1" applyFont="1" applyBorder="1" applyAlignment="1" applyProtection="1">
      <alignment horizontal="center"/>
    </xf>
    <xf numFmtId="10" fontId="57" fillId="0" borderId="87" xfId="0" applyNumberFormat="1" applyFont="1" applyFill="1" applyBorder="1" applyAlignment="1" applyProtection="1">
      <alignment horizontal="center"/>
    </xf>
    <xf numFmtId="10" fontId="57" fillId="0" borderId="87" xfId="1" applyNumberFormat="1" applyFont="1" applyFill="1" applyBorder="1" applyAlignment="1" applyProtection="1">
      <alignment horizontal="center"/>
    </xf>
    <xf numFmtId="10" fontId="57" fillId="0" borderId="89" xfId="0" applyNumberFormat="1" applyFont="1" applyFill="1" applyBorder="1" applyAlignment="1" applyProtection="1">
      <alignment horizontal="center"/>
    </xf>
    <xf numFmtId="10" fontId="57" fillId="0" borderId="89" xfId="1" applyNumberFormat="1" applyFont="1" applyFill="1" applyBorder="1" applyAlignment="1" applyProtection="1">
      <alignment horizontal="center"/>
    </xf>
    <xf numFmtId="0" fontId="11" fillId="32" borderId="1" xfId="0" applyFont="1" applyFill="1" applyBorder="1" applyAlignment="1">
      <alignment horizontal="left"/>
    </xf>
    <xf numFmtId="0" fontId="61" fillId="32" borderId="1" xfId="0" applyFont="1" applyFill="1" applyBorder="1"/>
    <xf numFmtId="3" fontId="11" fillId="32" borderId="1" xfId="0" applyNumberFormat="1" applyFont="1" applyFill="1" applyBorder="1" applyAlignment="1">
      <alignment horizontal="left"/>
    </xf>
    <xf numFmtId="0" fontId="11" fillId="42" borderId="1" xfId="0" applyFont="1" applyFill="1" applyBorder="1"/>
    <xf numFmtId="0" fontId="10" fillId="42" borderId="1" xfId="0" applyFont="1" applyFill="1" applyBorder="1"/>
    <xf numFmtId="0" fontId="11" fillId="42" borderId="1" xfId="0" applyFont="1" applyFill="1" applyBorder="1" applyAlignment="1">
      <alignment horizontal="left"/>
    </xf>
    <xf numFmtId="0" fontId="62" fillId="42" borderId="1" xfId="0" applyFont="1" applyFill="1" applyBorder="1"/>
    <xf numFmtId="0" fontId="61" fillId="42" borderId="1" xfId="0" applyFont="1" applyFill="1" applyBorder="1"/>
    <xf numFmtId="9" fontId="11" fillId="42" borderId="1" xfId="0" applyNumberFormat="1" applyFont="1" applyFill="1" applyBorder="1" applyAlignment="1">
      <alignment horizontal="left"/>
    </xf>
    <xf numFmtId="10" fontId="10" fillId="32" borderId="1" xfId="1" applyNumberFormat="1" applyFont="1" applyFill="1" applyBorder="1"/>
    <xf numFmtId="9" fontId="11" fillId="32" borderId="1" xfId="0" applyNumberFormat="1" applyFont="1" applyFill="1" applyBorder="1" applyAlignment="1">
      <alignment horizontal="left"/>
    </xf>
    <xf numFmtId="0" fontId="8" fillId="5" borderId="27" xfId="0" applyFont="1" applyFill="1" applyBorder="1" applyAlignment="1" applyProtection="1">
      <alignment horizontal="center"/>
      <protection locked="0"/>
    </xf>
    <xf numFmtId="0" fontId="8" fillId="5" borderId="27" xfId="0" applyFont="1" applyFill="1" applyBorder="1" applyAlignment="1" applyProtection="1">
      <alignment horizontal="center" vertical="distributed"/>
      <protection locked="0"/>
    </xf>
    <xf numFmtId="4" fontId="8" fillId="41" borderId="31" xfId="0" applyNumberFormat="1" applyFont="1" applyFill="1" applyBorder="1" applyProtection="1"/>
    <xf numFmtId="4" fontId="8" fillId="41" borderId="43" xfId="0" applyNumberFormat="1" applyFont="1" applyFill="1" applyBorder="1" applyProtection="1"/>
    <xf numFmtId="0" fontId="8" fillId="39" borderId="30" xfId="0" applyFont="1" applyFill="1" applyBorder="1" applyProtection="1"/>
    <xf numFmtId="0" fontId="8" fillId="5" borderId="35" xfId="0" applyFont="1" applyFill="1" applyBorder="1" applyAlignment="1" applyProtection="1">
      <alignment horizontal="center" vertical="distributed" wrapText="1"/>
      <protection locked="0"/>
    </xf>
    <xf numFmtId="0" fontId="8" fillId="39" borderId="0" xfId="0" applyFont="1" applyFill="1" applyBorder="1" applyProtection="1"/>
    <xf numFmtId="0" fontId="8" fillId="39" borderId="35" xfId="0" applyFont="1" applyFill="1" applyBorder="1" applyProtection="1"/>
    <xf numFmtId="0" fontId="4" fillId="0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" fontId="0" fillId="0" borderId="1" xfId="0" applyNumberFormat="1" applyFont="1" applyBorder="1"/>
    <xf numFmtId="10" fontId="8" fillId="0" borderId="1" xfId="1" applyNumberFormat="1" applyFont="1" applyBorder="1"/>
    <xf numFmtId="10" fontId="2" fillId="0" borderId="1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49" borderId="1" xfId="0" applyFill="1" applyBorder="1"/>
    <xf numFmtId="0" fontId="4" fillId="0" borderId="0" xfId="0" applyFont="1" applyFill="1" applyBorder="1" applyAlignment="1">
      <alignment wrapText="1"/>
    </xf>
    <xf numFmtId="10" fontId="9" fillId="49" borderId="2" xfId="1" applyNumberFormat="1" applyFont="1" applyFill="1" applyBorder="1" applyAlignment="1">
      <alignment horizontal="center" vertical="center"/>
    </xf>
    <xf numFmtId="10" fontId="0" fillId="49" borderId="1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5" fillId="49" borderId="2" xfId="0" applyFont="1" applyFill="1" applyBorder="1" applyAlignment="1">
      <alignment shrinkToFit="1"/>
    </xf>
    <xf numFmtId="0" fontId="0" fillId="49" borderId="1" xfId="0" applyFill="1" applyBorder="1" applyAlignment="1">
      <alignment horizontal="center" vertical="center"/>
    </xf>
    <xf numFmtId="0" fontId="3" fillId="48" borderId="98" xfId="0" applyFont="1" applyFill="1" applyBorder="1" applyAlignment="1">
      <alignment horizontal="center" vertical="center" wrapText="1"/>
    </xf>
    <xf numFmtId="0" fontId="3" fillId="48" borderId="98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8" borderId="99" xfId="0" applyFont="1" applyFill="1" applyBorder="1" applyAlignment="1">
      <alignment horizontal="center" vertical="center"/>
    </xf>
    <xf numFmtId="0" fontId="3" fillId="48" borderId="10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5" fillId="49" borderId="2" xfId="0" applyFont="1" applyFill="1" applyBorder="1" applyAlignment="1">
      <alignment horizontal="center" vertical="center"/>
    </xf>
    <xf numFmtId="0" fontId="0" fillId="0" borderId="1" xfId="0" applyFont="1" applyBorder="1"/>
    <xf numFmtId="0" fontId="65" fillId="49" borderId="2" xfId="0" applyFont="1" applyFill="1" applyBorder="1" applyAlignment="1">
      <alignment shrinkToFit="1"/>
    </xf>
    <xf numFmtId="10" fontId="0" fillId="0" borderId="12" xfId="1" applyNumberFormat="1" applyFont="1" applyBorder="1"/>
    <xf numFmtId="10" fontId="0" fillId="0" borderId="102" xfId="1" applyNumberFormat="1" applyFont="1" applyBorder="1"/>
    <xf numFmtId="10" fontId="10" fillId="0" borderId="0" xfId="1" applyNumberFormat="1" applyFont="1" applyFill="1" applyBorder="1"/>
    <xf numFmtId="10" fontId="0" fillId="0" borderId="0" xfId="1" applyNumberFormat="1" applyFont="1" applyFill="1" applyBorder="1"/>
    <xf numFmtId="0" fontId="3" fillId="0" borderId="101" xfId="0" applyFont="1" applyFill="1" applyBorder="1" applyAlignment="1">
      <alignment horizontal="center"/>
    </xf>
    <xf numFmtId="10" fontId="0" fillId="0" borderId="0" xfId="1" applyNumberFormat="1" applyFont="1" applyBorder="1"/>
    <xf numFmtId="0" fontId="8" fillId="0" borderId="0" xfId="0" applyFont="1" applyAlignment="1">
      <alignment horizontal="center" wrapText="1"/>
    </xf>
    <xf numFmtId="0" fontId="67" fillId="0" borderId="3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8" fillId="31" borderId="23" xfId="0" applyFont="1" applyFill="1" applyBorder="1"/>
    <xf numFmtId="165" fontId="11" fillId="0" borderId="1" xfId="1" applyNumberFormat="1" applyFont="1" applyBorder="1"/>
    <xf numFmtId="1" fontId="11" fillId="0" borderId="1" xfId="1" applyNumberFormat="1" applyFont="1" applyBorder="1"/>
    <xf numFmtId="165" fontId="11" fillId="0" borderId="1" xfId="0" applyNumberFormat="1" applyFont="1" applyBorder="1"/>
    <xf numFmtId="2" fontId="5" fillId="0" borderId="17" xfId="1" applyNumberFormat="1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/>
    <xf numFmtId="1" fontId="0" fillId="0" borderId="6" xfId="1" applyNumberFormat="1" applyFont="1" applyBorder="1"/>
    <xf numFmtId="0" fontId="65" fillId="0" borderId="103" xfId="0" applyFont="1" applyFill="1" applyBorder="1" applyAlignment="1">
      <alignment horizontal="center"/>
    </xf>
    <xf numFmtId="0" fontId="0" fillId="0" borderId="103" xfId="0" applyBorder="1"/>
    <xf numFmtId="0" fontId="0" fillId="0" borderId="103" xfId="0" applyNumberFormat="1" applyBorder="1"/>
    <xf numFmtId="1" fontId="65" fillId="0" borderId="17" xfId="0" applyNumberFormat="1" applyFont="1" applyFill="1" applyBorder="1"/>
    <xf numFmtId="0" fontId="8" fillId="5" borderId="35" xfId="0" applyFont="1" applyFill="1" applyBorder="1" applyAlignment="1" applyProtection="1">
      <alignment horizontal="center" vertical="distributed"/>
      <protection locked="0"/>
    </xf>
    <xf numFmtId="2" fontId="9" fillId="49" borderId="2" xfId="1" applyNumberFormat="1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2" fontId="0" fillId="49" borderId="1" xfId="1" applyNumberFormat="1" applyFont="1" applyFill="1" applyBorder="1" applyAlignment="1">
      <alignment horizontal="center" vertical="center"/>
    </xf>
    <xf numFmtId="0" fontId="9" fillId="49" borderId="2" xfId="1" applyNumberFormat="1" applyFont="1" applyFill="1" applyBorder="1" applyAlignment="1">
      <alignment horizontal="center" vertical="center"/>
    </xf>
    <xf numFmtId="4" fontId="10" fillId="0" borderId="1" xfId="1" applyNumberFormat="1" applyFont="1" applyBorder="1"/>
    <xf numFmtId="4" fontId="21" fillId="0" borderId="1" xfId="5" applyNumberFormat="1" applyFont="1" applyBorder="1"/>
    <xf numFmtId="4" fontId="21" fillId="0" borderId="1" xfId="5" applyNumberFormat="1" applyFont="1" applyBorder="1" applyAlignment="1"/>
    <xf numFmtId="0" fontId="15" fillId="9" borderId="84" xfId="2" applyFont="1" applyFill="1" applyBorder="1"/>
    <xf numFmtId="4" fontId="20" fillId="0" borderId="75" xfId="5" applyNumberFormat="1" applyFont="1" applyBorder="1"/>
    <xf numFmtId="4" fontId="20" fillId="19" borderId="15" xfId="5" applyNumberFormat="1" applyFont="1" applyFill="1" applyBorder="1"/>
    <xf numFmtId="4" fontId="20" fillId="0" borderId="52" xfId="5" applyNumberFormat="1" applyFont="1" applyBorder="1"/>
    <xf numFmtId="4" fontId="20" fillId="0" borderId="53" xfId="5" applyNumberFormat="1" applyFont="1" applyBorder="1"/>
    <xf numFmtId="4" fontId="26" fillId="0" borderId="0" xfId="2" applyNumberFormat="1" applyFont="1" applyFill="1" applyBorder="1" applyAlignment="1">
      <alignment horizontal="right"/>
    </xf>
    <xf numFmtId="3" fontId="12" fillId="19" borderId="65" xfId="2" applyNumberFormat="1" applyFont="1" applyFill="1" applyBorder="1" applyAlignment="1">
      <alignment horizontal="center"/>
    </xf>
    <xf numFmtId="3" fontId="12" fillId="19" borderId="66" xfId="2" applyNumberFormat="1" applyFont="1" applyFill="1" applyBorder="1" applyAlignment="1">
      <alignment horizontal="center"/>
    </xf>
    <xf numFmtId="9" fontId="9" fillId="49" borderId="2" xfId="1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4" fontId="0" fillId="0" borderId="104" xfId="0" applyNumberFormat="1" applyFont="1" applyBorder="1" applyAlignment="1" applyProtection="1">
      <alignment horizontal="center"/>
    </xf>
    <xf numFmtId="4" fontId="8" fillId="0" borderId="104" xfId="0" applyNumberFormat="1" applyFont="1" applyBorder="1" applyAlignment="1" applyProtection="1">
      <alignment horizontal="center"/>
    </xf>
    <xf numFmtId="4" fontId="8" fillId="0" borderId="105" xfId="0" applyNumberFormat="1" applyFont="1" applyBorder="1" applyAlignment="1" applyProtection="1">
      <alignment horizontal="center"/>
    </xf>
    <xf numFmtId="10" fontId="8" fillId="2" borderId="54" xfId="0" applyNumberFormat="1" applyFont="1" applyFill="1" applyBorder="1" applyProtection="1"/>
    <xf numFmtId="10" fontId="39" fillId="0" borderId="0" xfId="2" applyNumberFormat="1" applyFont="1" applyFill="1" applyBorder="1" applyAlignment="1" applyProtection="1">
      <alignment horizontal="center" vertical="center"/>
    </xf>
    <xf numFmtId="0" fontId="0" fillId="0" borderId="27" xfId="0" applyBorder="1"/>
    <xf numFmtId="0" fontId="8" fillId="0" borderId="27" xfId="0" applyFont="1" applyBorder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0" fontId="0" fillId="0" borderId="27" xfId="0" applyBorder="1" applyAlignment="1">
      <alignment horizontal="center" vertical="center"/>
    </xf>
    <xf numFmtId="0" fontId="8" fillId="39" borderId="27" xfId="0" applyFont="1" applyFill="1" applyBorder="1" applyAlignment="1">
      <alignment horizontal="center"/>
    </xf>
    <xf numFmtId="0" fontId="8" fillId="42" borderId="27" xfId="0" applyFont="1" applyFill="1" applyBorder="1" applyAlignment="1">
      <alignment horizontal="center"/>
    </xf>
    <xf numFmtId="0" fontId="8" fillId="0" borderId="0" xfId="0" applyFont="1"/>
    <xf numFmtId="0" fontId="8" fillId="39" borderId="27" xfId="0" applyFont="1" applyFill="1" applyBorder="1" applyAlignment="1">
      <alignment horizontal="center" vertical="center"/>
    </xf>
    <xf numFmtId="0" fontId="8" fillId="42" borderId="27" xfId="0" applyFont="1" applyFill="1" applyBorder="1" applyAlignment="1">
      <alignment horizontal="center" vertical="center"/>
    </xf>
    <xf numFmtId="10" fontId="76" fillId="32" borderId="110" xfId="1" applyNumberFormat="1" applyFont="1" applyFill="1" applyBorder="1"/>
    <xf numFmtId="4" fontId="0" fillId="32" borderId="30" xfId="0" applyNumberFormat="1" applyFill="1" applyBorder="1"/>
    <xf numFmtId="0" fontId="0" fillId="32" borderId="106" xfId="0" applyFill="1" applyBorder="1"/>
    <xf numFmtId="10" fontId="75" fillId="32" borderId="110" xfId="1" applyNumberFormat="1" applyFont="1" applyFill="1" applyBorder="1"/>
    <xf numFmtId="4" fontId="0" fillId="32" borderId="106" xfId="0" applyNumberFormat="1" applyFill="1" applyBorder="1"/>
    <xf numFmtId="10" fontId="78" fillId="32" borderId="110" xfId="1" applyNumberFormat="1" applyFont="1" applyFill="1" applyBorder="1"/>
    <xf numFmtId="4" fontId="8" fillId="32" borderId="0" xfId="0" applyNumberFormat="1" applyFont="1" applyFill="1"/>
    <xf numFmtId="4" fontId="74" fillId="32" borderId="28" xfId="0" applyNumberFormat="1" applyFont="1" applyFill="1" applyBorder="1"/>
    <xf numFmtId="4" fontId="74" fillId="32" borderId="90" xfId="0" applyNumberFormat="1" applyFont="1" applyFill="1" applyBorder="1"/>
    <xf numFmtId="10" fontId="49" fillId="32" borderId="110" xfId="1" applyNumberFormat="1" applyFont="1" applyFill="1" applyBorder="1"/>
    <xf numFmtId="4" fontId="0" fillId="32" borderId="90" xfId="0" applyNumberFormat="1" applyFont="1" applyFill="1" applyBorder="1"/>
    <xf numFmtId="4" fontId="0" fillId="32" borderId="108" xfId="0" applyNumberFormat="1" applyFill="1" applyBorder="1"/>
    <xf numFmtId="4" fontId="0" fillId="32" borderId="109" xfId="0" applyNumberFormat="1" applyFill="1" applyBorder="1"/>
    <xf numFmtId="4" fontId="74" fillId="32" borderId="106" xfId="0" applyNumberFormat="1" applyFont="1" applyFill="1" applyBorder="1"/>
    <xf numFmtId="4" fontId="0" fillId="32" borderId="28" xfId="0" applyNumberFormat="1" applyFill="1" applyBorder="1"/>
    <xf numFmtId="4" fontId="0" fillId="32" borderId="90" xfId="0" applyNumberFormat="1" applyFill="1" applyBorder="1"/>
    <xf numFmtId="4" fontId="8" fillId="32" borderId="106" xfId="0" applyNumberFormat="1" applyFont="1" applyFill="1" applyBorder="1"/>
    <xf numFmtId="0" fontId="0" fillId="32" borderId="0" xfId="0" applyFill="1"/>
    <xf numFmtId="4" fontId="10" fillId="32" borderId="27" xfId="0" applyNumberFormat="1" applyFont="1" applyFill="1" applyBorder="1" applyAlignment="1">
      <alignment horizontal="center"/>
    </xf>
    <xf numFmtId="4" fontId="66" fillId="32" borderId="28" xfId="0" applyNumberFormat="1" applyFont="1" applyFill="1" applyBorder="1" applyAlignment="1">
      <alignment horizontal="center"/>
    </xf>
    <xf numFmtId="4" fontId="66" fillId="32" borderId="90" xfId="0" applyNumberFormat="1" applyFont="1" applyFill="1" applyBorder="1" applyAlignment="1">
      <alignment horizontal="center"/>
    </xf>
    <xf numFmtId="10" fontId="76" fillId="32" borderId="110" xfId="1" applyNumberFormat="1" applyFont="1" applyFill="1" applyBorder="1" applyAlignment="1">
      <alignment horizontal="center"/>
    </xf>
    <xf numFmtId="4" fontId="66" fillId="32" borderId="0" xfId="0" applyNumberFormat="1" applyFont="1" applyFill="1" applyAlignment="1">
      <alignment horizontal="center"/>
    </xf>
    <xf numFmtId="10" fontId="66" fillId="32" borderId="110" xfId="1" applyNumberFormat="1" applyFont="1" applyFill="1" applyBorder="1" applyAlignment="1">
      <alignment horizontal="center"/>
    </xf>
    <xf numFmtId="10" fontId="76" fillId="41" borderId="110" xfId="1" applyNumberFormat="1" applyFont="1" applyFill="1" applyBorder="1" applyAlignment="1">
      <alignment horizontal="center"/>
    </xf>
    <xf numFmtId="10" fontId="75" fillId="41" borderId="110" xfId="1" applyNumberFormat="1" applyFont="1" applyFill="1" applyBorder="1"/>
    <xf numFmtId="10" fontId="78" fillId="41" borderId="110" xfId="1" applyNumberFormat="1" applyFont="1" applyFill="1" applyBorder="1"/>
    <xf numFmtId="10" fontId="66" fillId="41" borderId="110" xfId="1" applyNumberFormat="1" applyFont="1" applyFill="1" applyBorder="1" applyAlignment="1">
      <alignment horizontal="center"/>
    </xf>
    <xf numFmtId="10" fontId="49" fillId="41" borderId="110" xfId="1" applyNumberFormat="1" applyFont="1" applyFill="1" applyBorder="1"/>
    <xf numFmtId="0" fontId="0" fillId="41" borderId="0" xfId="0" applyFill="1"/>
    <xf numFmtId="10" fontId="76" fillId="41" borderId="110" xfId="1" applyNumberFormat="1" applyFont="1" applyFill="1" applyBorder="1"/>
    <xf numFmtId="4" fontId="66" fillId="41" borderId="28" xfId="0" applyNumberFormat="1" applyFont="1" applyFill="1" applyBorder="1" applyAlignment="1">
      <alignment horizontal="center"/>
    </xf>
    <xf numFmtId="4" fontId="66" fillId="41" borderId="90" xfId="0" applyNumberFormat="1" applyFont="1" applyFill="1" applyBorder="1" applyAlignment="1">
      <alignment horizontal="center"/>
    </xf>
    <xf numFmtId="4" fontId="0" fillId="41" borderId="30" xfId="0" applyNumberFormat="1" applyFill="1" applyBorder="1"/>
    <xf numFmtId="0" fontId="0" fillId="41" borderId="106" xfId="0" applyFill="1" applyBorder="1"/>
    <xf numFmtId="4" fontId="0" fillId="41" borderId="106" xfId="0" applyNumberFormat="1" applyFill="1" applyBorder="1"/>
    <xf numFmtId="4" fontId="66" fillId="41" borderId="0" xfId="0" applyNumberFormat="1" applyFont="1" applyFill="1" applyAlignment="1">
      <alignment horizontal="center"/>
    </xf>
    <xf numFmtId="4" fontId="74" fillId="41" borderId="28" xfId="0" applyNumberFormat="1" applyFont="1" applyFill="1" applyBorder="1"/>
    <xf numFmtId="4" fontId="74" fillId="41" borderId="90" xfId="0" applyNumberFormat="1" applyFont="1" applyFill="1" applyBorder="1"/>
    <xf numFmtId="10" fontId="77" fillId="41" borderId="110" xfId="1" applyNumberFormat="1" applyFont="1" applyFill="1" applyBorder="1" applyAlignment="1">
      <alignment horizontal="center"/>
    </xf>
    <xf numFmtId="4" fontId="66" fillId="41" borderId="0" xfId="0" applyNumberFormat="1" applyFont="1" applyFill="1"/>
    <xf numFmtId="10" fontId="66" fillId="41" borderId="110" xfId="1" applyNumberFormat="1" applyFont="1" applyFill="1" applyBorder="1"/>
    <xf numFmtId="4" fontId="0" fillId="41" borderId="90" xfId="0" applyNumberFormat="1" applyFont="1" applyFill="1" applyBorder="1"/>
    <xf numFmtId="4" fontId="0" fillId="41" borderId="108" xfId="0" applyNumberFormat="1" applyFill="1" applyBorder="1"/>
    <xf numFmtId="4" fontId="0" fillId="41" borderId="109" xfId="0" applyNumberFormat="1" applyFill="1" applyBorder="1"/>
    <xf numFmtId="4" fontId="74" fillId="41" borderId="30" xfId="0" applyNumberFormat="1" applyFont="1" applyFill="1" applyBorder="1"/>
    <xf numFmtId="4" fontId="74" fillId="41" borderId="106" xfId="0" applyNumberFormat="1" applyFont="1" applyFill="1" applyBorder="1"/>
    <xf numFmtId="4" fontId="0" fillId="41" borderId="28" xfId="0" applyNumberFormat="1" applyFill="1" applyBorder="1"/>
    <xf numFmtId="4" fontId="0" fillId="41" borderId="90" xfId="0" applyNumberFormat="1" applyFill="1" applyBorder="1"/>
    <xf numFmtId="4" fontId="8" fillId="41" borderId="30" xfId="0" applyNumberFormat="1" applyFont="1" applyFill="1" applyBorder="1"/>
    <xf numFmtId="4" fontId="66" fillId="41" borderId="27" xfId="0" applyNumberFormat="1" applyFont="1" applyFill="1" applyBorder="1" applyAlignment="1">
      <alignment horizontal="center"/>
    </xf>
    <xf numFmtId="4" fontId="10" fillId="41" borderId="27" xfId="0" applyNumberFormat="1" applyFont="1" applyFill="1" applyBorder="1" applyAlignment="1">
      <alignment horizontal="center"/>
    </xf>
    <xf numFmtId="4" fontId="66" fillId="41" borderId="28" xfId="0" applyNumberFormat="1" applyFont="1" applyFill="1" applyBorder="1" applyAlignment="1">
      <alignment horizontal="center" vertical="center"/>
    </xf>
    <xf numFmtId="4" fontId="66" fillId="41" borderId="90" xfId="0" applyNumberFormat="1" applyFont="1" applyFill="1" applyBorder="1" applyAlignment="1">
      <alignment horizontal="center" vertical="center"/>
    </xf>
    <xf numFmtId="10" fontId="76" fillId="41" borderId="110" xfId="1" applyNumberFormat="1" applyFont="1" applyFill="1" applyBorder="1" applyAlignment="1">
      <alignment horizontal="center" vertical="center"/>
    </xf>
    <xf numFmtId="4" fontId="66" fillId="41" borderId="0" xfId="0" applyNumberFormat="1" applyFont="1" applyFill="1" applyAlignment="1">
      <alignment horizontal="center" vertical="center"/>
    </xf>
    <xf numFmtId="10" fontId="66" fillId="41" borderId="110" xfId="1" applyNumberFormat="1" applyFont="1" applyFill="1" applyBorder="1" applyAlignment="1">
      <alignment horizontal="center" vertical="center"/>
    </xf>
    <xf numFmtId="4" fontId="49" fillId="55" borderId="28" xfId="0" applyNumberFormat="1" applyFont="1" applyFill="1" applyBorder="1"/>
    <xf numFmtId="4" fontId="49" fillId="55" borderId="90" xfId="0" applyNumberFormat="1" applyFont="1" applyFill="1" applyBorder="1"/>
    <xf numFmtId="0" fontId="0" fillId="55" borderId="0" xfId="0" applyFill="1"/>
    <xf numFmtId="0" fontId="0" fillId="55" borderId="88" xfId="0" applyFill="1" applyBorder="1"/>
    <xf numFmtId="4" fontId="10" fillId="55" borderId="27" xfId="0" applyNumberFormat="1" applyFont="1" applyFill="1" applyBorder="1" applyAlignment="1">
      <alignment horizontal="center"/>
    </xf>
    <xf numFmtId="4" fontId="66" fillId="55" borderId="0" xfId="0" applyNumberFormat="1" applyFont="1" applyFill="1"/>
    <xf numFmtId="4" fontId="66" fillId="55" borderId="28" xfId="0" applyNumberFormat="1" applyFont="1" applyFill="1" applyBorder="1"/>
    <xf numFmtId="4" fontId="66" fillId="55" borderId="90" xfId="0" applyNumberFormat="1" applyFont="1" applyFill="1" applyBorder="1"/>
    <xf numFmtId="10" fontId="76" fillId="55" borderId="111" xfId="1" applyNumberFormat="1" applyFont="1" applyFill="1" applyBorder="1" applyAlignment="1">
      <alignment horizontal="center"/>
    </xf>
    <xf numFmtId="10" fontId="75" fillId="55" borderId="111" xfId="1" applyNumberFormat="1" applyFont="1" applyFill="1" applyBorder="1"/>
    <xf numFmtId="10" fontId="78" fillId="55" borderId="111" xfId="1" applyNumberFormat="1" applyFont="1" applyFill="1" applyBorder="1"/>
    <xf numFmtId="10" fontId="66" fillId="55" borderId="111" xfId="1" applyNumberFormat="1" applyFont="1" applyFill="1" applyBorder="1" applyAlignment="1">
      <alignment horizontal="center"/>
    </xf>
    <xf numFmtId="10" fontId="49" fillId="55" borderId="111" xfId="1" applyNumberFormat="1" applyFont="1" applyFill="1" applyBorder="1"/>
    <xf numFmtId="10" fontId="77" fillId="55" borderId="111" xfId="1" applyNumberFormat="1" applyFont="1" applyFill="1" applyBorder="1" applyAlignment="1">
      <alignment horizontal="center"/>
    </xf>
    <xf numFmtId="10" fontId="76" fillId="55" borderId="111" xfId="1" applyNumberFormat="1" applyFont="1" applyFill="1" applyBorder="1" applyAlignment="1">
      <alignment horizontal="center" vertical="center"/>
    </xf>
    <xf numFmtId="10" fontId="76" fillId="55" borderId="111" xfId="1" applyNumberFormat="1" applyFont="1" applyFill="1" applyBorder="1"/>
    <xf numFmtId="0" fontId="8" fillId="55" borderId="27" xfId="0" applyFont="1" applyFill="1" applyBorder="1" applyAlignment="1">
      <alignment horizontal="center" vertical="center"/>
    </xf>
    <xf numFmtId="10" fontId="72" fillId="47" borderId="52" xfId="4" applyNumberFormat="1" applyFont="1" applyFill="1" applyBorder="1" applyAlignment="1">
      <alignment horizontal="center" vertical="center"/>
    </xf>
    <xf numFmtId="4" fontId="77" fillId="41" borderId="28" xfId="0" applyNumberFormat="1" applyFont="1" applyFill="1" applyBorder="1" applyAlignment="1">
      <alignment horizontal="center"/>
    </xf>
    <xf numFmtId="4" fontId="77" fillId="41" borderId="90" xfId="0" applyNumberFormat="1" applyFont="1" applyFill="1" applyBorder="1" applyAlignment="1">
      <alignment horizontal="center"/>
    </xf>
    <xf numFmtId="0" fontId="12" fillId="0" borderId="1" xfId="2" applyBorder="1" applyAlignment="1">
      <alignment horizontal="center"/>
    </xf>
    <xf numFmtId="10" fontId="12" fillId="0" borderId="1" xfId="2" applyNumberFormat="1" applyBorder="1" applyAlignment="1"/>
    <xf numFmtId="10" fontId="79" fillId="0" borderId="1" xfId="2" applyNumberFormat="1" applyFont="1" applyBorder="1" applyAlignment="1"/>
    <xf numFmtId="0" fontId="12" fillId="0" borderId="1" xfId="2" applyFont="1" applyBorder="1" applyAlignment="1">
      <alignment horizontal="center"/>
    </xf>
    <xf numFmtId="0" fontId="22" fillId="24" borderId="0" xfId="2" applyFont="1" applyFill="1" applyAlignment="1">
      <alignment horizontal="center"/>
    </xf>
    <xf numFmtId="10" fontId="22" fillId="25" borderId="43" xfId="4" applyNumberFormat="1" applyFont="1" applyFill="1" applyBorder="1" applyAlignment="1">
      <alignment horizontal="center"/>
    </xf>
    <xf numFmtId="4" fontId="74" fillId="32" borderId="30" xfId="0" applyNumberFormat="1" applyFont="1" applyFill="1" applyBorder="1"/>
    <xf numFmtId="4" fontId="8" fillId="41" borderId="104" xfId="0" applyNumberFormat="1" applyFont="1" applyFill="1" applyBorder="1"/>
    <xf numFmtId="4" fontId="8" fillId="41" borderId="106" xfId="0" applyNumberFormat="1" applyFont="1" applyFill="1" applyBorder="1"/>
    <xf numFmtId="4" fontId="0" fillId="32" borderId="30" xfId="0" applyNumberFormat="1" applyFont="1" applyFill="1" applyBorder="1"/>
    <xf numFmtId="4" fontId="0" fillId="32" borderId="108" xfId="0" applyNumberFormat="1" applyFont="1" applyFill="1" applyBorder="1"/>
    <xf numFmtId="4" fontId="8" fillId="42" borderId="30" xfId="0" applyNumberFormat="1" applyFont="1" applyFill="1" applyBorder="1" applyProtection="1"/>
    <xf numFmtId="4" fontId="21" fillId="0" borderId="45" xfId="5" applyNumberFormat="1" applyFont="1" applyBorder="1"/>
    <xf numFmtId="4" fontId="17" fillId="0" borderId="1" xfId="2" applyNumberFormat="1" applyFont="1" applyBorder="1"/>
    <xf numFmtId="4" fontId="17" fillId="9" borderId="49" xfId="2" applyNumberFormat="1" applyFont="1" applyFill="1" applyBorder="1"/>
    <xf numFmtId="4" fontId="29" fillId="16" borderId="3" xfId="3" applyNumberFormat="1" applyFont="1" applyFill="1" applyBorder="1"/>
    <xf numFmtId="4" fontId="14" fillId="0" borderId="0" xfId="2" applyNumberFormat="1" applyFont="1" applyFill="1"/>
    <xf numFmtId="4" fontId="12" fillId="0" borderId="0" xfId="2" applyNumberFormat="1" applyFill="1"/>
    <xf numFmtId="0" fontId="22" fillId="0" borderId="1" xfId="2" applyFont="1" applyBorder="1" applyAlignment="1">
      <alignment horizontal="center"/>
    </xf>
    <xf numFmtId="10" fontId="22" fillId="0" borderId="1" xfId="2" applyNumberFormat="1" applyFont="1" applyBorder="1" applyAlignment="1"/>
    <xf numFmtId="8" fontId="26" fillId="0" borderId="1" xfId="3" applyNumberFormat="1" applyFont="1" applyFill="1" applyBorder="1"/>
    <xf numFmtId="0" fontId="18" fillId="0" borderId="48" xfId="2" applyFont="1" applyBorder="1"/>
    <xf numFmtId="0" fontId="10" fillId="31" borderId="112" xfId="0" applyFont="1" applyFill="1" applyBorder="1"/>
    <xf numFmtId="0" fontId="11" fillId="42" borderId="6" xfId="0" applyFont="1" applyFill="1" applyBorder="1"/>
    <xf numFmtId="0" fontId="10" fillId="42" borderId="6" xfId="0" applyFont="1" applyFill="1" applyBorder="1"/>
    <xf numFmtId="0" fontId="68" fillId="31" borderId="113" xfId="0" applyFont="1" applyFill="1" applyBorder="1"/>
    <xf numFmtId="0" fontId="61" fillId="32" borderId="25" xfId="0" applyFont="1" applyFill="1" applyBorder="1"/>
    <xf numFmtId="0" fontId="11" fillId="32" borderId="25" xfId="0" applyFont="1" applyFill="1" applyBorder="1"/>
    <xf numFmtId="0" fontId="10" fillId="32" borderId="25" xfId="0" applyFont="1" applyFill="1" applyBorder="1"/>
    <xf numFmtId="4" fontId="22" fillId="0" borderId="1" xfId="2" applyNumberFormat="1" applyFont="1" applyBorder="1" applyAlignment="1">
      <alignment horizontal="center"/>
    </xf>
    <xf numFmtId="3" fontId="12" fillId="0" borderId="1" xfId="2" applyNumberFormat="1" applyBorder="1" applyAlignment="1">
      <alignment horizontal="center"/>
    </xf>
    <xf numFmtId="0" fontId="0" fillId="0" borderId="42" xfId="0" applyBorder="1" applyAlignment="1" applyProtection="1">
      <alignment horizontal="center"/>
    </xf>
    <xf numFmtId="10" fontId="22" fillId="0" borderId="1" xfId="2" applyNumberFormat="1" applyFont="1" applyBorder="1"/>
    <xf numFmtId="1" fontId="14" fillId="25" borderId="0" xfId="2" applyNumberFormat="1" applyFont="1" applyFill="1" applyAlignment="1">
      <alignment horizontal="center"/>
    </xf>
    <xf numFmtId="0" fontId="8" fillId="39" borderId="0" xfId="0" applyFont="1" applyFill="1" applyBorder="1" applyAlignment="1" applyProtection="1">
      <alignment horizontal="center"/>
    </xf>
    <xf numFmtId="10" fontId="0" fillId="0" borderId="0" xfId="0" applyNumberFormat="1" applyProtection="1">
      <protection locked="0"/>
    </xf>
    <xf numFmtId="175" fontId="14" fillId="0" borderId="1" xfId="2" applyNumberFormat="1" applyFont="1" applyBorder="1"/>
    <xf numFmtId="2" fontId="8" fillId="41" borderId="31" xfId="1" applyNumberFormat="1" applyFont="1" applyFill="1" applyBorder="1" applyProtection="1"/>
    <xf numFmtId="9" fontId="0" fillId="0" borderId="1" xfId="1" applyFont="1" applyBorder="1"/>
    <xf numFmtId="9" fontId="8" fillId="0" borderId="1" xfId="1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76" fontId="10" fillId="0" borderId="1" xfId="0" applyNumberFormat="1" applyFont="1" applyBorder="1"/>
    <xf numFmtId="2" fontId="5" fillId="0" borderId="1" xfId="1" applyNumberFormat="1" applyFont="1" applyFill="1" applyBorder="1"/>
    <xf numFmtId="177" fontId="9" fillId="0" borderId="2" xfId="0" applyNumberFormat="1" applyFont="1" applyBorder="1" applyAlignment="1">
      <alignment horizontal="center" vertical="center"/>
    </xf>
    <xf numFmtId="0" fontId="11" fillId="32" borderId="1" xfId="0" applyFont="1" applyFill="1" applyBorder="1" applyAlignment="1">
      <alignment horizontal="right"/>
    </xf>
    <xf numFmtId="9" fontId="11" fillId="32" borderId="1" xfId="1" applyFont="1" applyFill="1" applyBorder="1" applyAlignment="1">
      <alignment horizontal="left"/>
    </xf>
    <xf numFmtId="0" fontId="11" fillId="42" borderId="1" xfId="0" applyFont="1" applyFill="1" applyBorder="1" applyAlignment="1">
      <alignment horizontal="right"/>
    </xf>
    <xf numFmtId="9" fontId="11" fillId="42" borderId="1" xfId="1" applyFont="1" applyFill="1" applyBorder="1" applyAlignment="1">
      <alignment horizontal="left"/>
    </xf>
    <xf numFmtId="10" fontId="11" fillId="32" borderId="1" xfId="1" applyNumberFormat="1" applyFont="1" applyFill="1" applyBorder="1" applyAlignment="1">
      <alignment horizontal="right"/>
    </xf>
    <xf numFmtId="169" fontId="11" fillId="32" borderId="1" xfId="0" applyNumberFormat="1" applyFont="1" applyFill="1" applyBorder="1" applyAlignment="1">
      <alignment horizontal="left"/>
    </xf>
    <xf numFmtId="2" fontId="11" fillId="32" borderId="1" xfId="1" applyNumberFormat="1" applyFont="1" applyFill="1" applyBorder="1" applyAlignment="1">
      <alignment horizontal="left"/>
    </xf>
    <xf numFmtId="0" fontId="11" fillId="42" borderId="25" xfId="0" applyFont="1" applyFill="1" applyBorder="1" applyAlignment="1">
      <alignment horizontal="right"/>
    </xf>
    <xf numFmtId="0" fontId="11" fillId="42" borderId="25" xfId="0" applyFont="1" applyFill="1" applyBorder="1" applyAlignment="1">
      <alignment horizontal="left"/>
    </xf>
    <xf numFmtId="2" fontId="10" fillId="0" borderId="1" xfId="1" applyNumberFormat="1" applyFont="1" applyBorder="1"/>
    <xf numFmtId="2" fontId="0" fillId="0" borderId="6" xfId="1" applyNumberFormat="1" applyFont="1" applyBorder="1"/>
    <xf numFmtId="164" fontId="10" fillId="32" borderId="1" xfId="0" applyNumberFormat="1" applyFont="1" applyFill="1" applyBorder="1"/>
    <xf numFmtId="10" fontId="10" fillId="32" borderId="24" xfId="1" applyNumberFormat="1" applyFont="1" applyFill="1" applyBorder="1"/>
    <xf numFmtId="10" fontId="10" fillId="42" borderId="1" xfId="1" applyNumberFormat="1" applyFont="1" applyFill="1" applyBorder="1"/>
    <xf numFmtId="10" fontId="10" fillId="42" borderId="24" xfId="1" applyNumberFormat="1" applyFont="1" applyFill="1" applyBorder="1"/>
    <xf numFmtId="10" fontId="44" fillId="32" borderId="1" xfId="1" applyNumberFormat="1" applyFont="1" applyFill="1" applyBorder="1"/>
    <xf numFmtId="1" fontId="10" fillId="42" borderId="1" xfId="0" applyNumberFormat="1" applyFont="1" applyFill="1" applyBorder="1"/>
    <xf numFmtId="1" fontId="10" fillId="42" borderId="24" xfId="0" applyNumberFormat="1" applyFont="1" applyFill="1" applyBorder="1"/>
    <xf numFmtId="1" fontId="10" fillId="32" borderId="1" xfId="1" applyNumberFormat="1" applyFont="1" applyFill="1" applyBorder="1"/>
    <xf numFmtId="1" fontId="10" fillId="32" borderId="24" xfId="1" applyNumberFormat="1" applyFont="1" applyFill="1" applyBorder="1"/>
    <xf numFmtId="10" fontId="68" fillId="42" borderId="1" xfId="1" applyNumberFormat="1" applyFont="1" applyFill="1" applyBorder="1"/>
    <xf numFmtId="164" fontId="10" fillId="32" borderId="24" xfId="0" applyNumberFormat="1" applyFont="1" applyFill="1" applyBorder="1"/>
    <xf numFmtId="164" fontId="10" fillId="42" borderId="1" xfId="0" applyNumberFormat="1" applyFont="1" applyFill="1" applyBorder="1"/>
    <xf numFmtId="10" fontId="68" fillId="32" borderId="1" xfId="1" applyNumberFormat="1" applyFont="1" applyFill="1" applyBorder="1"/>
    <xf numFmtId="9" fontId="10" fillId="42" borderId="1" xfId="1" applyFont="1" applyFill="1" applyBorder="1"/>
    <xf numFmtId="9" fontId="10" fillId="42" borderId="24" xfId="1" applyFont="1" applyFill="1" applyBorder="1"/>
    <xf numFmtId="9" fontId="10" fillId="32" borderId="1" xfId="1" applyFont="1" applyFill="1" applyBorder="1"/>
    <xf numFmtId="9" fontId="10" fillId="32" borderId="24" xfId="1" applyFont="1" applyFill="1" applyBorder="1"/>
    <xf numFmtId="167" fontId="68" fillId="32" borderId="1" xfId="0" applyNumberFormat="1" applyFont="1" applyFill="1" applyBorder="1"/>
    <xf numFmtId="167" fontId="10" fillId="32" borderId="1" xfId="0" applyNumberFormat="1" applyFont="1" applyFill="1" applyBorder="1"/>
    <xf numFmtId="167" fontId="10" fillId="32" borderId="24" xfId="0" applyNumberFormat="1" applyFont="1" applyFill="1" applyBorder="1"/>
    <xf numFmtId="164" fontId="10" fillId="42" borderId="24" xfId="0" applyNumberFormat="1" applyFont="1" applyFill="1" applyBorder="1"/>
    <xf numFmtId="10" fontId="10" fillId="42" borderId="1" xfId="0" applyNumberFormat="1" applyFont="1" applyFill="1" applyBorder="1"/>
    <xf numFmtId="10" fontId="10" fillId="42" borderId="24" xfId="0" applyNumberFormat="1" applyFont="1" applyFill="1" applyBorder="1"/>
    <xf numFmtId="4" fontId="10" fillId="32" borderId="1" xfId="0" applyNumberFormat="1" applyFont="1" applyFill="1" applyBorder="1"/>
    <xf numFmtId="4" fontId="10" fillId="42" borderId="1" xfId="0" applyNumberFormat="1" applyFont="1" applyFill="1" applyBorder="1"/>
    <xf numFmtId="2" fontId="10" fillId="42" borderId="1" xfId="0" applyNumberFormat="1" applyFont="1" applyFill="1" applyBorder="1"/>
    <xf numFmtId="2" fontId="10" fillId="42" borderId="24" xfId="0" applyNumberFormat="1" applyFont="1" applyFill="1" applyBorder="1"/>
    <xf numFmtId="2" fontId="10" fillId="32" borderId="1" xfId="0" applyNumberFormat="1" applyFont="1" applyFill="1" applyBorder="1"/>
    <xf numFmtId="2" fontId="10" fillId="32" borderId="24" xfId="0" applyNumberFormat="1" applyFont="1" applyFill="1" applyBorder="1"/>
    <xf numFmtId="165" fontId="10" fillId="42" borderId="6" xfId="0" applyNumberFormat="1" applyFont="1" applyFill="1" applyBorder="1"/>
    <xf numFmtId="2" fontId="10" fillId="42" borderId="24" xfId="1" applyNumberFormat="1" applyFont="1" applyFill="1" applyBorder="1"/>
    <xf numFmtId="2" fontId="10" fillId="32" borderId="25" xfId="0" applyNumberFormat="1" applyFont="1" applyFill="1" applyBorder="1"/>
    <xf numFmtId="10" fontId="10" fillId="32" borderId="26" xfId="1" applyNumberFormat="1" applyFont="1" applyFill="1" applyBorder="1"/>
    <xf numFmtId="49" fontId="11" fillId="42" borderId="1" xfId="0" applyNumberFormat="1" applyFont="1" applyFill="1" applyBorder="1" applyAlignment="1">
      <alignment horizontal="right"/>
    </xf>
    <xf numFmtId="10" fontId="29" fillId="16" borderId="14" xfId="2" applyNumberFormat="1" applyFont="1" applyFill="1" applyBorder="1" applyAlignment="1">
      <alignment horizontal="right"/>
    </xf>
    <xf numFmtId="4" fontId="66" fillId="41" borderId="0" xfId="0" applyNumberFormat="1" applyFont="1" applyFill="1" applyBorder="1" applyAlignment="1">
      <alignment horizontal="center"/>
    </xf>
    <xf numFmtId="4" fontId="10" fillId="32" borderId="0" xfId="0" applyNumberFormat="1" applyFont="1" applyFill="1" applyBorder="1" applyAlignment="1">
      <alignment horizontal="center"/>
    </xf>
    <xf numFmtId="4" fontId="10" fillId="41" borderId="0" xfId="0" applyNumberFormat="1" applyFont="1" applyFill="1" applyBorder="1" applyAlignment="1">
      <alignment horizontal="center"/>
    </xf>
    <xf numFmtId="4" fontId="66" fillId="55" borderId="0" xfId="0" applyNumberFormat="1" applyFont="1" applyFill="1" applyBorder="1"/>
    <xf numFmtId="0" fontId="20" fillId="0" borderId="46" xfId="5" applyFont="1" applyBorder="1"/>
    <xf numFmtId="10" fontId="76" fillId="32" borderId="27" xfId="1" applyNumberFormat="1" applyFont="1" applyFill="1" applyBorder="1" applyAlignment="1">
      <alignment horizontal="center"/>
    </xf>
    <xf numFmtId="4" fontId="66" fillId="55" borderId="27" xfId="0" applyNumberFormat="1" applyFont="1" applyFill="1" applyBorder="1" applyAlignment="1">
      <alignment horizontal="center" vertical="center"/>
    </xf>
    <xf numFmtId="4" fontId="74" fillId="41" borderId="42" xfId="0" applyNumberFormat="1" applyFont="1" applyFill="1" applyBorder="1"/>
    <xf numFmtId="4" fontId="74" fillId="41" borderId="115" xfId="0" applyNumberFormat="1" applyFont="1" applyFill="1" applyBorder="1"/>
    <xf numFmtId="10" fontId="78" fillId="41" borderId="77" xfId="1" applyNumberFormat="1" applyFont="1" applyFill="1" applyBorder="1"/>
    <xf numFmtId="4" fontId="74" fillId="32" borderId="42" xfId="0" applyNumberFormat="1" applyFont="1" applyFill="1" applyBorder="1"/>
    <xf numFmtId="4" fontId="74" fillId="32" borderId="115" xfId="0" applyNumberFormat="1" applyFont="1" applyFill="1" applyBorder="1"/>
    <xf numFmtId="10" fontId="78" fillId="32" borderId="77" xfId="1" applyNumberFormat="1" applyFont="1" applyFill="1" applyBorder="1"/>
    <xf numFmtId="10" fontId="78" fillId="41" borderId="27" xfId="1" applyNumberFormat="1" applyFont="1" applyFill="1" applyBorder="1"/>
    <xf numFmtId="10" fontId="78" fillId="32" borderId="27" xfId="1" applyNumberFormat="1" applyFont="1" applyFill="1" applyBorder="1"/>
    <xf numFmtId="10" fontId="76" fillId="41" borderId="87" xfId="1" applyNumberFormat="1" applyFont="1" applyFill="1" applyBorder="1" applyAlignment="1">
      <alignment horizontal="center"/>
    </xf>
    <xf numFmtId="10" fontId="76" fillId="41" borderId="27" xfId="1" applyNumberFormat="1" applyFont="1" applyFill="1" applyBorder="1" applyAlignment="1">
      <alignment horizontal="center"/>
    </xf>
    <xf numFmtId="10" fontId="76" fillId="32" borderId="87" xfId="1" applyNumberFormat="1" applyFont="1" applyFill="1" applyBorder="1" applyAlignment="1">
      <alignment horizontal="center"/>
    </xf>
    <xf numFmtId="4" fontId="66" fillId="32" borderId="27" xfId="0" applyNumberFormat="1" applyFont="1" applyFill="1" applyBorder="1" applyAlignment="1">
      <alignment horizontal="center"/>
    </xf>
    <xf numFmtId="4" fontId="74" fillId="41" borderId="116" xfId="0" applyNumberFormat="1" applyFont="1" applyFill="1" applyBorder="1"/>
    <xf numFmtId="4" fontId="0" fillId="41" borderId="54" xfId="0" applyNumberFormat="1" applyFill="1" applyBorder="1"/>
    <xf numFmtId="10" fontId="40" fillId="47" borderId="63" xfId="2" applyNumberFormat="1" applyFont="1" applyFill="1" applyBorder="1" applyAlignment="1">
      <alignment horizontal="center" vertical="center"/>
    </xf>
    <xf numFmtId="10" fontId="40" fillId="47" borderId="12" xfId="2" applyNumberFormat="1" applyFont="1" applyFill="1" applyBorder="1" applyAlignment="1">
      <alignment horizontal="center" vertical="center"/>
    </xf>
    <xf numFmtId="10" fontId="38" fillId="47" borderId="12" xfId="2" applyNumberFormat="1" applyFont="1" applyFill="1" applyBorder="1" applyAlignment="1">
      <alignment horizontal="center" vertical="center"/>
    </xf>
    <xf numFmtId="10" fontId="40" fillId="47" borderId="45" xfId="2" applyNumberFormat="1" applyFont="1" applyFill="1" applyBorder="1" applyAlignment="1">
      <alignment horizontal="center" vertical="center"/>
    </xf>
    <xf numFmtId="10" fontId="40" fillId="47" borderId="1" xfId="2" applyNumberFormat="1" applyFont="1" applyFill="1" applyBorder="1" applyAlignment="1">
      <alignment horizontal="center" vertical="center"/>
    </xf>
    <xf numFmtId="10" fontId="38" fillId="47" borderId="1" xfId="2" applyNumberFormat="1" applyFont="1" applyFill="1" applyBorder="1" applyAlignment="1">
      <alignment horizontal="center" vertical="center"/>
    </xf>
    <xf numFmtId="4" fontId="0" fillId="0" borderId="77" xfId="0" applyNumberFormat="1" applyFont="1" applyBorder="1" applyAlignment="1" applyProtection="1">
      <alignment horizontal="center"/>
    </xf>
    <xf numFmtId="4" fontId="0" fillId="0" borderId="117" xfId="0" applyNumberFormat="1" applyFont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/>
      <protection locked="0"/>
    </xf>
    <xf numFmtId="0" fontId="10" fillId="5" borderId="27" xfId="0" applyFont="1" applyFill="1" applyBorder="1" applyAlignment="1" applyProtection="1">
      <alignment horizontal="center"/>
      <protection locked="0"/>
    </xf>
    <xf numFmtId="0" fontId="49" fillId="5" borderId="27" xfId="0" applyFont="1" applyFill="1" applyBorder="1" applyAlignment="1" applyProtection="1">
      <alignment horizontal="center"/>
      <protection locked="0"/>
    </xf>
    <xf numFmtId="0" fontId="8" fillId="39" borderId="96" xfId="0" applyFont="1" applyFill="1" applyBorder="1" applyProtection="1"/>
    <xf numFmtId="4" fontId="8" fillId="4" borderId="117" xfId="0" applyNumberFormat="1" applyFont="1" applyFill="1" applyBorder="1" applyProtection="1"/>
    <xf numFmtId="4" fontId="8" fillId="4" borderId="104" xfId="0" applyNumberFormat="1" applyFont="1" applyFill="1" applyBorder="1" applyProtection="1"/>
    <xf numFmtId="1" fontId="8" fillId="42" borderId="104" xfId="0" applyNumberFormat="1" applyFont="1" applyFill="1" applyBorder="1" applyProtection="1"/>
    <xf numFmtId="1" fontId="8" fillId="4" borderId="104" xfId="0" applyNumberFormat="1" applyFont="1" applyFill="1" applyBorder="1" applyProtection="1"/>
    <xf numFmtId="4" fontId="8" fillId="0" borderId="104" xfId="0" applyNumberFormat="1" applyFont="1" applyBorder="1" applyProtection="1"/>
    <xf numFmtId="0" fontId="8" fillId="0" borderId="104" xfId="0" applyFont="1" applyBorder="1" applyProtection="1"/>
    <xf numFmtId="0" fontId="8" fillId="4" borderId="104" xfId="0" applyFont="1" applyFill="1" applyBorder="1" applyProtection="1"/>
    <xf numFmtId="10" fontId="8" fillId="0" borderId="104" xfId="0" applyNumberFormat="1" applyFont="1" applyBorder="1" applyProtection="1"/>
    <xf numFmtId="10" fontId="8" fillId="4" borderId="104" xfId="0" applyNumberFormat="1" applyFont="1" applyFill="1" applyBorder="1" applyProtection="1"/>
    <xf numFmtId="0" fontId="49" fillId="5" borderId="33" xfId="0" applyFont="1" applyFill="1" applyBorder="1" applyAlignment="1" applyProtection="1">
      <alignment horizontal="center"/>
      <protection locked="0"/>
    </xf>
    <xf numFmtId="4" fontId="8" fillId="4" borderId="119" xfId="0" applyNumberFormat="1" applyFont="1" applyFill="1" applyBorder="1" applyProtection="1"/>
    <xf numFmtId="4" fontId="8" fillId="0" borderId="117" xfId="0" applyNumberFormat="1" applyFont="1" applyFill="1" applyBorder="1" applyProtection="1"/>
    <xf numFmtId="4" fontId="8" fillId="0" borderId="104" xfId="0" applyNumberFormat="1" applyFont="1" applyFill="1" applyBorder="1" applyProtection="1"/>
    <xf numFmtId="4" fontId="8" fillId="42" borderId="104" xfId="0" applyNumberFormat="1" applyFont="1" applyFill="1" applyBorder="1" applyProtection="1"/>
    <xf numFmtId="4" fontId="8" fillId="0" borderId="54" xfId="0" applyNumberFormat="1" applyFont="1" applyFill="1" applyBorder="1" applyProtection="1"/>
    <xf numFmtId="4" fontId="10" fillId="41" borderId="116" xfId="0" applyNumberFormat="1" applyFont="1" applyFill="1" applyBorder="1" applyProtection="1"/>
    <xf numFmtId="4" fontId="8" fillId="0" borderId="119" xfId="0" applyNumberFormat="1" applyFont="1" applyBorder="1" applyProtection="1"/>
    <xf numFmtId="4" fontId="8" fillId="0" borderId="105" xfId="0" applyNumberFormat="1" applyFont="1" applyBorder="1" applyProtection="1"/>
    <xf numFmtId="4" fontId="8" fillId="42" borderId="33" xfId="0" applyNumberFormat="1" applyFont="1" applyFill="1" applyBorder="1" applyAlignment="1" applyProtection="1">
      <alignment horizontal="center"/>
    </xf>
    <xf numFmtId="0" fontId="8" fillId="4" borderId="121" xfId="0" applyFont="1" applyFill="1" applyBorder="1" applyProtection="1"/>
    <xf numFmtId="10" fontId="8" fillId="4" borderId="121" xfId="0" applyNumberFormat="1" applyFont="1" applyFill="1" applyBorder="1" applyProtection="1"/>
    <xf numFmtId="4" fontId="8" fillId="42" borderId="120" xfId="0" applyNumberFormat="1" applyFont="1" applyFill="1" applyBorder="1" applyAlignment="1" applyProtection="1">
      <alignment horizontal="center"/>
    </xf>
    <xf numFmtId="0" fontId="10" fillId="5" borderId="120" xfId="0" applyFont="1" applyFill="1" applyBorder="1" applyAlignment="1" applyProtection="1">
      <alignment horizontal="center"/>
      <protection locked="0"/>
    </xf>
    <xf numFmtId="4" fontId="8" fillId="42" borderId="123" xfId="0" applyNumberFormat="1" applyFont="1" applyFill="1" applyBorder="1" applyProtection="1"/>
    <xf numFmtId="4" fontId="8" fillId="42" borderId="119" xfId="0" applyNumberFormat="1" applyFont="1" applyFill="1" applyBorder="1" applyProtection="1"/>
    <xf numFmtId="0" fontId="8" fillId="4" borderId="95" xfId="0" applyFont="1" applyFill="1" applyBorder="1" applyProtection="1"/>
    <xf numFmtId="0" fontId="8" fillId="4" borderId="126" xfId="0" applyFont="1" applyFill="1" applyBorder="1" applyProtection="1"/>
    <xf numFmtId="4" fontId="8" fillId="4" borderId="126" xfId="0" applyNumberFormat="1" applyFont="1" applyFill="1" applyBorder="1" applyProtection="1"/>
    <xf numFmtId="4" fontId="8" fillId="0" borderId="126" xfId="0" applyNumberFormat="1" applyFont="1" applyFill="1" applyBorder="1" applyProtection="1"/>
    <xf numFmtId="4" fontId="10" fillId="41" borderId="123" xfId="0" applyNumberFormat="1" applyFont="1" applyFill="1" applyBorder="1" applyProtection="1"/>
    <xf numFmtId="0" fontId="49" fillId="56" borderId="27" xfId="0" applyFont="1" applyFill="1" applyBorder="1" applyAlignment="1" applyProtection="1">
      <alignment horizontal="center"/>
      <protection locked="0"/>
    </xf>
    <xf numFmtId="10" fontId="8" fillId="0" borderId="54" xfId="0" applyNumberFormat="1" applyFont="1" applyBorder="1" applyProtection="1"/>
    <xf numFmtId="10" fontId="8" fillId="2" borderId="121" xfId="0" applyNumberFormat="1" applyFont="1" applyFill="1" applyBorder="1" applyProtection="1"/>
    <xf numFmtId="4" fontId="8" fillId="42" borderId="131" xfId="0" applyNumberFormat="1" applyFont="1" applyFill="1" applyBorder="1" applyProtection="1"/>
    <xf numFmtId="4" fontId="8" fillId="4" borderId="132" xfId="0" applyNumberFormat="1" applyFont="1" applyFill="1" applyBorder="1" applyProtection="1"/>
    <xf numFmtId="4" fontId="8" fillId="4" borderId="121" xfId="0" applyNumberFormat="1" applyFont="1" applyFill="1" applyBorder="1" applyProtection="1"/>
    <xf numFmtId="1" fontId="8" fillId="42" borderId="121" xfId="0" applyNumberFormat="1" applyFont="1" applyFill="1" applyBorder="1" applyProtection="1"/>
    <xf numFmtId="1" fontId="8" fillId="4" borderId="121" xfId="0" applyNumberFormat="1" applyFont="1" applyFill="1" applyBorder="1" applyProtection="1"/>
    <xf numFmtId="4" fontId="8" fillId="0" borderId="121" xfId="0" applyNumberFormat="1" applyFont="1" applyBorder="1" applyProtection="1"/>
    <xf numFmtId="4" fontId="8" fillId="4" borderId="133" xfId="0" applyNumberFormat="1" applyFont="1" applyFill="1" applyBorder="1" applyProtection="1"/>
    <xf numFmtId="1" fontId="8" fillId="42" borderId="126" xfId="0" applyNumberFormat="1" applyFont="1" applyFill="1" applyBorder="1" applyProtection="1"/>
    <xf numFmtId="1" fontId="8" fillId="4" borderId="126" xfId="0" applyNumberFormat="1" applyFont="1" applyFill="1" applyBorder="1" applyProtection="1"/>
    <xf numFmtId="4" fontId="8" fillId="0" borderId="126" xfId="0" applyNumberFormat="1" applyFont="1" applyBorder="1" applyProtection="1"/>
    <xf numFmtId="4" fontId="8" fillId="0" borderId="127" xfId="0" applyNumberFormat="1" applyFont="1" applyBorder="1" applyProtection="1"/>
    <xf numFmtId="0" fontId="8" fillId="0" borderId="121" xfId="0" applyFont="1" applyBorder="1" applyProtection="1"/>
    <xf numFmtId="10" fontId="8" fillId="0" borderId="121" xfId="0" applyNumberFormat="1" applyFont="1" applyBorder="1" applyProtection="1"/>
    <xf numFmtId="0" fontId="8" fillId="0" borderId="123" xfId="0" applyFont="1" applyBorder="1" applyProtection="1"/>
    <xf numFmtId="0" fontId="8" fillId="0" borderId="126" xfId="0" applyFont="1" applyBorder="1" applyProtection="1"/>
    <xf numFmtId="10" fontId="8" fillId="0" borderId="126" xfId="0" applyNumberFormat="1" applyFont="1" applyBorder="1" applyProtection="1"/>
    <xf numFmtId="10" fontId="8" fillId="4" borderId="126" xfId="0" applyNumberFormat="1" applyFont="1" applyFill="1" applyBorder="1" applyProtection="1"/>
    <xf numFmtId="4" fontId="65" fillId="42" borderId="121" xfId="0" applyNumberFormat="1" applyFont="1" applyFill="1" applyBorder="1" applyProtection="1">
      <protection locked="0"/>
    </xf>
    <xf numFmtId="10" fontId="65" fillId="42" borderId="121" xfId="0" applyNumberFormat="1" applyFont="1" applyFill="1" applyBorder="1" applyProtection="1">
      <protection locked="0"/>
    </xf>
    <xf numFmtId="4" fontId="65" fillId="42" borderId="126" xfId="1" applyNumberFormat="1" applyFont="1" applyFill="1" applyBorder="1" applyProtection="1">
      <protection locked="0"/>
    </xf>
    <xf numFmtId="2" fontId="8" fillId="0" borderId="126" xfId="0" applyNumberFormat="1" applyFont="1" applyBorder="1" applyProtection="1">
      <protection locked="0"/>
    </xf>
    <xf numFmtId="10" fontId="65" fillId="42" borderId="126" xfId="1" applyNumberFormat="1" applyFont="1" applyFill="1" applyBorder="1" applyProtection="1">
      <protection locked="0"/>
    </xf>
    <xf numFmtId="4" fontId="65" fillId="42" borderId="127" xfId="1" applyNumberFormat="1" applyFont="1" applyFill="1" applyBorder="1" applyProtection="1">
      <protection locked="0"/>
    </xf>
    <xf numFmtId="0" fontId="49" fillId="5" borderId="134" xfId="0" applyFont="1" applyFill="1" applyBorder="1" applyAlignment="1" applyProtection="1">
      <alignment horizontal="center"/>
      <protection locked="0"/>
    </xf>
    <xf numFmtId="0" fontId="49" fillId="5" borderId="135" xfId="0" applyFont="1" applyFill="1" applyBorder="1" applyAlignment="1" applyProtection="1">
      <alignment horizontal="center"/>
      <protection locked="0"/>
    </xf>
    <xf numFmtId="2" fontId="65" fillId="42" borderId="131" xfId="1" applyNumberFormat="1" applyFont="1" applyFill="1" applyBorder="1" applyAlignment="1" applyProtection="1">
      <alignment vertical="center"/>
    </xf>
    <xf numFmtId="2" fontId="65" fillId="42" borderId="121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horizontal="right" vertical="center"/>
    </xf>
    <xf numFmtId="0" fontId="65" fillId="42" borderId="136" xfId="1" applyNumberFormat="1" applyFont="1" applyFill="1" applyBorder="1" applyAlignment="1" applyProtection="1">
      <alignment vertical="center"/>
    </xf>
    <xf numFmtId="2" fontId="65" fillId="42" borderId="123" xfId="1" applyNumberFormat="1" applyFont="1" applyFill="1" applyBorder="1" applyAlignment="1" applyProtection="1">
      <alignment vertical="center"/>
    </xf>
    <xf numFmtId="0" fontId="65" fillId="42" borderId="126" xfId="0" applyFont="1" applyFill="1" applyBorder="1" applyAlignment="1" applyProtection="1">
      <alignment vertical="center"/>
    </xf>
    <xf numFmtId="10" fontId="65" fillId="50" borderId="126" xfId="1" applyNumberFormat="1" applyFont="1" applyFill="1" applyBorder="1" applyAlignment="1" applyProtection="1">
      <alignment horizontal="right" vertical="center"/>
    </xf>
    <xf numFmtId="0" fontId="65" fillId="42" borderId="127" xfId="1" applyNumberFormat="1" applyFont="1" applyFill="1" applyBorder="1" applyAlignment="1" applyProtection="1">
      <alignment vertical="center"/>
    </xf>
    <xf numFmtId="10" fontId="8" fillId="0" borderId="121" xfId="1" applyNumberFormat="1" applyFont="1" applyBorder="1" applyProtection="1">
      <protection locked="0"/>
    </xf>
    <xf numFmtId="1" fontId="8" fillId="0" borderId="123" xfId="1" applyNumberFormat="1" applyFont="1" applyBorder="1" applyProtection="1">
      <protection locked="0"/>
    </xf>
    <xf numFmtId="1" fontId="8" fillId="0" borderId="126" xfId="1" applyNumberFormat="1" applyFont="1" applyBorder="1" applyProtection="1">
      <protection locked="0"/>
    </xf>
    <xf numFmtId="10" fontId="8" fillId="0" borderId="126" xfId="1" applyNumberFormat="1" applyFont="1" applyBorder="1" applyProtection="1">
      <protection locked="0"/>
    </xf>
    <xf numFmtId="4" fontId="8" fillId="4" borderId="131" xfId="0" applyNumberFormat="1" applyFont="1" applyFill="1" applyBorder="1" applyProtection="1"/>
    <xf numFmtId="4" fontId="8" fillId="0" borderId="132" xfId="0" applyNumberFormat="1" applyFont="1" applyFill="1" applyBorder="1" applyProtection="1"/>
    <xf numFmtId="4" fontId="8" fillId="0" borderId="121" xfId="0" applyNumberFormat="1" applyFont="1" applyFill="1" applyBorder="1" applyProtection="1"/>
    <xf numFmtId="4" fontId="8" fillId="42" borderId="121" xfId="0" applyNumberFormat="1" applyFont="1" applyFill="1" applyBorder="1" applyProtection="1"/>
    <xf numFmtId="4" fontId="8" fillId="4" borderId="123" xfId="0" applyNumberFormat="1" applyFont="1" applyFill="1" applyBorder="1" applyProtection="1"/>
    <xf numFmtId="4" fontId="8" fillId="0" borderId="133" xfId="0" applyNumberFormat="1" applyFont="1" applyFill="1" applyBorder="1" applyProtection="1"/>
    <xf numFmtId="4" fontId="8" fillId="42" borderId="126" xfId="0" applyNumberFormat="1" applyFont="1" applyFill="1" applyBorder="1" applyProtection="1"/>
    <xf numFmtId="4" fontId="10" fillId="41" borderId="119" xfId="0" applyNumberFormat="1" applyFont="1" applyFill="1" applyBorder="1" applyProtection="1"/>
    <xf numFmtId="4" fontId="10" fillId="41" borderId="124" xfId="0" applyNumberFormat="1" applyFont="1" applyFill="1" applyBorder="1" applyProtection="1"/>
    <xf numFmtId="4" fontId="8" fillId="0" borderId="131" xfId="0" applyNumberFormat="1" applyFont="1" applyBorder="1" applyProtection="1"/>
    <xf numFmtId="4" fontId="8" fillId="0" borderId="136" xfId="0" applyNumberFormat="1" applyFont="1" applyBorder="1" applyProtection="1"/>
    <xf numFmtId="4" fontId="8" fillId="0" borderId="123" xfId="0" applyNumberFormat="1" applyFont="1" applyBorder="1" applyProtection="1"/>
    <xf numFmtId="0" fontId="49" fillId="56" borderId="33" xfId="0" applyFont="1" applyFill="1" applyBorder="1" applyAlignment="1" applyProtection="1">
      <alignment horizontal="center"/>
      <protection locked="0"/>
    </xf>
    <xf numFmtId="0" fontId="0" fillId="0" borderId="119" xfId="0" applyBorder="1" applyAlignment="1" applyProtection="1">
      <alignment horizontal="center"/>
    </xf>
    <xf numFmtId="10" fontId="0" fillId="0" borderId="104" xfId="0" applyNumberFormat="1" applyBorder="1" applyProtection="1"/>
    <xf numFmtId="0" fontId="0" fillId="0" borderId="104" xfId="0" applyBorder="1" applyAlignment="1" applyProtection="1">
      <alignment horizontal="center"/>
    </xf>
    <xf numFmtId="0" fontId="2" fillId="0" borderId="104" xfId="0" applyFont="1" applyBorder="1" applyAlignment="1" applyProtection="1">
      <alignment horizontal="center"/>
    </xf>
    <xf numFmtId="10" fontId="2" fillId="0" borderId="104" xfId="0" applyNumberFormat="1" applyFont="1" applyBorder="1" applyProtection="1"/>
    <xf numFmtId="0" fontId="0" fillId="0" borderId="117" xfId="0" applyBorder="1" applyAlignment="1" applyProtection="1">
      <alignment horizontal="center"/>
    </xf>
    <xf numFmtId="0" fontId="8" fillId="0" borderId="84" xfId="0" applyNumberFormat="1" applyFont="1" applyBorder="1" applyProtection="1"/>
    <xf numFmtId="0" fontId="8" fillId="0" borderId="54" xfId="0" applyNumberFormat="1" applyFont="1" applyBorder="1" applyProtection="1"/>
    <xf numFmtId="0" fontId="49" fillId="56" borderId="134" xfId="0" applyFont="1" applyFill="1" applyBorder="1" applyAlignment="1" applyProtection="1">
      <alignment horizontal="center"/>
      <protection locked="0"/>
    </xf>
    <xf numFmtId="0" fontId="0" fillId="0" borderId="137" xfId="0" applyBorder="1" applyAlignment="1" applyProtection="1">
      <alignment horizontal="center"/>
    </xf>
    <xf numFmtId="10" fontId="0" fillId="0" borderId="128" xfId="0" applyNumberFormat="1" applyBorder="1" applyProtection="1"/>
    <xf numFmtId="0" fontId="0" fillId="0" borderId="128" xfId="0" applyBorder="1" applyAlignment="1" applyProtection="1">
      <alignment horizontal="center"/>
    </xf>
    <xf numFmtId="0" fontId="2" fillId="0" borderId="128" xfId="0" applyFont="1" applyBorder="1" applyAlignment="1" applyProtection="1">
      <alignment horizontal="center"/>
    </xf>
    <xf numFmtId="10" fontId="2" fillId="0" borderId="128" xfId="0" applyNumberFormat="1" applyFont="1" applyBorder="1" applyProtection="1"/>
    <xf numFmtId="0" fontId="0" fillId="0" borderId="139" xfId="0" applyBorder="1" applyAlignment="1" applyProtection="1">
      <alignment horizontal="center"/>
    </xf>
    <xf numFmtId="10" fontId="0" fillId="0" borderId="140" xfId="0" applyNumberFormat="1" applyBorder="1" applyProtection="1"/>
    <xf numFmtId="0" fontId="8" fillId="0" borderId="139" xfId="0" applyNumberFormat="1" applyFont="1" applyBorder="1" applyProtection="1"/>
    <xf numFmtId="0" fontId="8" fillId="0" borderId="128" xfId="0" applyNumberFormat="1" applyFont="1" applyBorder="1" applyProtection="1"/>
    <xf numFmtId="10" fontId="8" fillId="0" borderId="128" xfId="0" applyNumberFormat="1" applyFont="1" applyBorder="1" applyProtection="1"/>
    <xf numFmtId="0" fontId="8" fillId="0" borderId="141" xfId="0" applyNumberFormat="1" applyFont="1" applyBorder="1" applyProtection="1"/>
    <xf numFmtId="0" fontId="8" fillId="0" borderId="126" xfId="0" applyNumberFormat="1" applyFont="1" applyBorder="1" applyProtection="1"/>
    <xf numFmtId="0" fontId="49" fillId="56" borderId="85" xfId="0" applyFont="1" applyFill="1" applyBorder="1" applyAlignment="1" applyProtection="1">
      <alignment horizontal="center"/>
      <protection locked="0"/>
    </xf>
    <xf numFmtId="0" fontId="0" fillId="0" borderId="110" xfId="0" applyBorder="1" applyAlignment="1" applyProtection="1">
      <alignment horizontal="center"/>
    </xf>
    <xf numFmtId="10" fontId="0" fillId="0" borderId="55" xfId="0" applyNumberFormat="1" applyBorder="1" applyProtection="1"/>
    <xf numFmtId="0" fontId="0" fillId="0" borderId="55" xfId="0" applyBorder="1" applyAlignment="1" applyProtection="1">
      <alignment horizontal="center"/>
    </xf>
    <xf numFmtId="0" fontId="0" fillId="0" borderId="77" xfId="0" applyBorder="1" applyAlignment="1" applyProtection="1">
      <alignment horizontal="center"/>
    </xf>
    <xf numFmtId="0" fontId="8" fillId="0" borderId="77" xfId="0" applyNumberFormat="1" applyFont="1" applyBorder="1" applyProtection="1"/>
    <xf numFmtId="0" fontId="8" fillId="0" borderId="55" xfId="0" applyNumberFormat="1" applyFont="1" applyBorder="1" applyProtection="1"/>
    <xf numFmtId="10" fontId="8" fillId="0" borderId="55" xfId="0" applyNumberFormat="1" applyFont="1" applyBorder="1" applyProtection="1"/>
    <xf numFmtId="0" fontId="8" fillId="0" borderId="129" xfId="0" applyFont="1" applyBorder="1" applyProtection="1"/>
    <xf numFmtId="4" fontId="8" fillId="0" borderId="147" xfId="0" applyNumberFormat="1" applyFont="1" applyBorder="1" applyProtection="1"/>
    <xf numFmtId="4" fontId="8" fillId="0" borderId="146" xfId="0" applyNumberFormat="1" applyFont="1" applyBorder="1" applyProtection="1"/>
    <xf numFmtId="0" fontId="39" fillId="43" borderId="120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0" fillId="0" borderId="122" xfId="0" applyBorder="1" applyProtection="1"/>
    <xf numFmtId="0" fontId="0" fillId="0" borderId="0" xfId="0" applyBorder="1" applyProtection="1"/>
    <xf numFmtId="0" fontId="39" fillId="43" borderId="36" xfId="2" applyFont="1" applyFill="1" applyBorder="1" applyAlignment="1" applyProtection="1">
      <alignment horizontal="center" vertical="center"/>
    </xf>
    <xf numFmtId="0" fontId="0" fillId="0" borderId="76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148" xfId="0" applyBorder="1" applyProtection="1">
      <protection locked="0"/>
    </xf>
    <xf numFmtId="0" fontId="0" fillId="0" borderId="85" xfId="0" applyBorder="1" applyProtection="1">
      <protection locked="0"/>
    </xf>
    <xf numFmtId="0" fontId="49" fillId="56" borderId="125" xfId="0" applyFont="1" applyFill="1" applyBorder="1" applyAlignment="1" applyProtection="1">
      <alignment horizontal="center"/>
      <protection locked="0"/>
    </xf>
    <xf numFmtId="0" fontId="0" fillId="0" borderId="149" xfId="0" applyBorder="1" applyAlignment="1" applyProtection="1">
      <alignment horizontal="center"/>
    </xf>
    <xf numFmtId="10" fontId="0" fillId="0" borderId="143" xfId="0" applyNumberFormat="1" applyBorder="1" applyProtection="1"/>
    <xf numFmtId="0" fontId="0" fillId="0" borderId="143" xfId="0" applyBorder="1" applyAlignment="1" applyProtection="1">
      <alignment horizontal="center"/>
    </xf>
    <xf numFmtId="0" fontId="0" fillId="0" borderId="150" xfId="0" applyBorder="1" applyAlignment="1" applyProtection="1">
      <alignment horizontal="center"/>
    </xf>
    <xf numFmtId="10" fontId="0" fillId="0" borderId="151" xfId="0" applyNumberFormat="1" applyBorder="1" applyProtection="1"/>
    <xf numFmtId="0" fontId="8" fillId="0" borderId="150" xfId="0" applyNumberFormat="1" applyFont="1" applyBorder="1" applyProtection="1"/>
    <xf numFmtId="0" fontId="8" fillId="0" borderId="143" xfId="0" applyNumberFormat="1" applyFont="1" applyBorder="1" applyProtection="1"/>
    <xf numFmtId="10" fontId="8" fillId="0" borderId="143" xfId="0" applyNumberFormat="1" applyFont="1" applyBorder="1" applyProtection="1"/>
    <xf numFmtId="4" fontId="8" fillId="42" borderId="130" xfId="0" applyNumberFormat="1" applyFont="1" applyFill="1" applyBorder="1" applyAlignment="1" applyProtection="1">
      <alignment horizontal="center"/>
    </xf>
    <xf numFmtId="4" fontId="0" fillId="0" borderId="55" xfId="0" applyNumberFormat="1" applyFont="1" applyBorder="1" applyAlignment="1" applyProtection="1">
      <alignment horizontal="center"/>
    </xf>
    <xf numFmtId="4" fontId="8" fillId="0" borderId="55" xfId="0" applyNumberFormat="1" applyFont="1" applyBorder="1" applyAlignment="1" applyProtection="1">
      <alignment horizontal="center"/>
    </xf>
    <xf numFmtId="4" fontId="8" fillId="0" borderId="148" xfId="0" applyNumberFormat="1" applyFont="1" applyBorder="1" applyAlignment="1" applyProtection="1">
      <alignment horizontal="center"/>
    </xf>
    <xf numFmtId="4" fontId="0" fillId="0" borderId="97" xfId="0" applyNumberFormat="1" applyFont="1" applyBorder="1" applyAlignment="1" applyProtection="1">
      <alignment horizontal="center"/>
    </xf>
    <xf numFmtId="0" fontId="39" fillId="43" borderId="130" xfId="2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52" xfId="0" applyBorder="1" applyAlignment="1" applyProtection="1">
      <alignment horizontal="center"/>
    </xf>
    <xf numFmtId="10" fontId="8" fillId="0" borderId="123" xfId="0" applyNumberFormat="1" applyFont="1" applyBorder="1" applyAlignment="1" applyProtection="1">
      <alignment horizontal="center"/>
    </xf>
    <xf numFmtId="10" fontId="39" fillId="0" borderId="152" xfId="2" applyNumberFormat="1" applyFont="1" applyFill="1" applyBorder="1" applyAlignment="1" applyProtection="1">
      <alignment horizontal="center" vertical="center"/>
    </xf>
    <xf numFmtId="0" fontId="0" fillId="0" borderId="152" xfId="0" applyBorder="1" applyProtection="1"/>
    <xf numFmtId="10" fontId="8" fillId="0" borderId="153" xfId="0" applyNumberFormat="1" applyFont="1" applyBorder="1" applyAlignment="1" applyProtection="1">
      <alignment horizontal="center"/>
    </xf>
    <xf numFmtId="10" fontId="8" fillId="0" borderId="130" xfId="0" applyNumberFormat="1" applyFont="1" applyBorder="1" applyAlignment="1" applyProtection="1">
      <alignment horizontal="center"/>
    </xf>
    <xf numFmtId="10" fontId="8" fillId="0" borderId="90" xfId="0" applyNumberFormat="1" applyFont="1" applyBorder="1" applyAlignment="1" applyProtection="1">
      <alignment horizontal="center"/>
    </xf>
    <xf numFmtId="4" fontId="0" fillId="0" borderId="27" xfId="0" applyNumberFormat="1" applyFont="1" applyBorder="1" applyAlignment="1" applyProtection="1">
      <alignment horizontal="center"/>
    </xf>
    <xf numFmtId="4" fontId="0" fillId="0" borderId="154" xfId="0" applyNumberFormat="1" applyFont="1" applyBorder="1" applyAlignment="1" applyProtection="1">
      <alignment horizontal="center"/>
    </xf>
    <xf numFmtId="4" fontId="8" fillId="0" borderId="27" xfId="0" applyNumberFormat="1" applyFont="1" applyBorder="1" applyAlignment="1" applyProtection="1">
      <alignment horizontal="center"/>
    </xf>
    <xf numFmtId="4" fontId="8" fillId="0" borderId="154" xfId="0" applyNumberFormat="1" applyFont="1" applyBorder="1" applyAlignment="1" applyProtection="1">
      <alignment horizontal="center"/>
    </xf>
    <xf numFmtId="4" fontId="0" fillId="0" borderId="27" xfId="0" applyNumberFormat="1" applyBorder="1" applyAlignment="1" applyProtection="1">
      <alignment horizontal="center" vertical="center"/>
    </xf>
    <xf numFmtId="10" fontId="0" fillId="0" borderId="27" xfId="1" applyNumberFormat="1" applyFont="1" applyBorder="1" applyAlignment="1" applyProtection="1">
      <alignment horizontal="center" vertical="center"/>
    </xf>
    <xf numFmtId="10" fontId="0" fillId="0" borderId="130" xfId="1" applyNumberFormat="1" applyFont="1" applyBorder="1" applyAlignment="1" applyProtection="1">
      <alignment horizontal="center" vertical="center"/>
    </xf>
    <xf numFmtId="4" fontId="65" fillId="0" borderId="27" xfId="0" applyNumberFormat="1" applyFont="1" applyBorder="1" applyAlignment="1" applyProtection="1">
      <alignment horizontal="center" vertical="center"/>
    </xf>
    <xf numFmtId="4" fontId="0" fillId="0" borderId="120" xfId="1" applyNumberFormat="1" applyFont="1" applyBorder="1" applyAlignment="1" applyProtection="1">
      <alignment horizontal="center" vertical="center"/>
    </xf>
    <xf numFmtId="4" fontId="0" fillId="0" borderId="27" xfId="1" applyNumberFormat="1" applyFont="1" applyBorder="1" applyAlignment="1" applyProtection="1">
      <alignment horizontal="center" vertical="center"/>
    </xf>
    <xf numFmtId="4" fontId="65" fillId="0" borderId="120" xfId="1" applyNumberFormat="1" applyFont="1" applyBorder="1" applyAlignment="1" applyProtection="1">
      <alignment horizontal="center" vertical="center"/>
    </xf>
    <xf numFmtId="4" fontId="65" fillId="0" borderId="27" xfId="1" applyNumberFormat="1" applyFont="1" applyBorder="1" applyAlignment="1" applyProtection="1">
      <alignment horizontal="center" vertical="center"/>
    </xf>
    <xf numFmtId="0" fontId="52" fillId="38" borderId="0" xfId="2" applyFont="1" applyFill="1" applyBorder="1" applyAlignment="1" applyProtection="1">
      <alignment horizontal="center" vertical="center"/>
      <protection locked="0"/>
    </xf>
    <xf numFmtId="0" fontId="49" fillId="5" borderId="130" xfId="0" applyFont="1" applyFill="1" applyBorder="1" applyAlignment="1" applyProtection="1">
      <alignment horizontal="center"/>
      <protection locked="0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10" fontId="8" fillId="7" borderId="126" xfId="0" applyNumberFormat="1" applyFont="1" applyFill="1" applyBorder="1" applyAlignment="1" applyProtection="1"/>
    <xf numFmtId="10" fontId="8" fillId="7" borderId="129" xfId="0" applyNumberFormat="1" applyFont="1" applyFill="1" applyBorder="1" applyAlignment="1" applyProtection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" fontId="8" fillId="41" borderId="156" xfId="0" applyNumberFormat="1" applyFont="1" applyFill="1" applyBorder="1" applyProtection="1"/>
    <xf numFmtId="4" fontId="8" fillId="41" borderId="157" xfId="0" applyNumberFormat="1" applyFont="1" applyFill="1" applyBorder="1" applyProtection="1"/>
    <xf numFmtId="4" fontId="8" fillId="41" borderId="90" xfId="0" applyNumberFormat="1" applyFont="1" applyFill="1" applyBorder="1" applyProtection="1"/>
    <xf numFmtId="4" fontId="8" fillId="41" borderId="107" xfId="0" applyNumberFormat="1" applyFont="1" applyFill="1" applyBorder="1" applyProtection="1"/>
    <xf numFmtId="4" fontId="8" fillId="41" borderId="155" xfId="0" applyNumberFormat="1" applyFont="1" applyFill="1" applyBorder="1" applyProtection="1"/>
    <xf numFmtId="4" fontId="8" fillId="41" borderId="153" xfId="0" applyNumberFormat="1" applyFont="1" applyFill="1" applyBorder="1" applyProtection="1"/>
    <xf numFmtId="0" fontId="49" fillId="56" borderId="118" xfId="0" applyFont="1" applyFill="1" applyBorder="1" applyAlignment="1" applyProtection="1">
      <alignment horizontal="center"/>
      <protection locked="0"/>
    </xf>
    <xf numFmtId="0" fontId="49" fillId="56" borderId="94" xfId="0" applyFont="1" applyFill="1" applyBorder="1" applyAlignment="1" applyProtection="1">
      <alignment horizontal="center"/>
      <protection locked="0"/>
    </xf>
    <xf numFmtId="4" fontId="8" fillId="36" borderId="95" xfId="0" applyNumberFormat="1" applyFont="1" applyFill="1" applyBorder="1" applyAlignment="1" applyProtection="1">
      <alignment horizontal="center"/>
      <protection locked="0"/>
    </xf>
    <xf numFmtId="10" fontId="8" fillId="36" borderId="95" xfId="0" applyNumberFormat="1" applyFont="1" applyFill="1" applyBorder="1" applyProtection="1">
      <protection locked="0"/>
    </xf>
    <xf numFmtId="0" fontId="8" fillId="0" borderId="95" xfId="0" applyFont="1" applyBorder="1" applyAlignment="1" applyProtection="1">
      <alignment horizontal="center"/>
      <protection locked="0"/>
    </xf>
    <xf numFmtId="10" fontId="8" fillId="42" borderId="95" xfId="0" applyNumberFormat="1" applyFont="1" applyFill="1" applyBorder="1" applyProtection="1">
      <protection locked="0"/>
    </xf>
    <xf numFmtId="4" fontId="8" fillId="36" borderId="95" xfId="0" applyNumberFormat="1" applyFont="1" applyFill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Protection="1"/>
    <xf numFmtId="2" fontId="8" fillId="0" borderId="0" xfId="1" applyNumberFormat="1" applyFont="1" applyFill="1" applyBorder="1" applyProtection="1"/>
    <xf numFmtId="0" fontId="0" fillId="0" borderId="0" xfId="0" applyFill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10" fontId="8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71" fontId="12" fillId="0" borderId="17" xfId="10" applyNumberFormat="1" applyFont="1" applyFill="1" applyBorder="1"/>
    <xf numFmtId="4" fontId="65" fillId="0" borderId="118" xfId="1" applyNumberFormat="1" applyFont="1" applyBorder="1" applyAlignment="1" applyProtection="1">
      <alignment horizontal="center" vertical="center"/>
    </xf>
    <xf numFmtId="164" fontId="5" fillId="0" borderId="1" xfId="0" applyNumberFormat="1" applyFont="1" applyBorder="1"/>
    <xf numFmtId="4" fontId="0" fillId="0" borderId="120" xfId="0" applyNumberFormat="1" applyFont="1" applyBorder="1" applyAlignment="1" applyProtection="1">
      <alignment horizontal="center"/>
    </xf>
    <xf numFmtId="4" fontId="8" fillId="0" borderId="120" xfId="0" applyNumberFormat="1" applyFont="1" applyBorder="1" applyAlignment="1" applyProtection="1">
      <alignment horizontal="center"/>
    </xf>
    <xf numFmtId="4" fontId="0" fillId="0" borderId="158" xfId="0" applyNumberFormat="1" applyFont="1" applyBorder="1" applyAlignment="1" applyProtection="1">
      <alignment horizontal="center"/>
    </xf>
    <xf numFmtId="4" fontId="0" fillId="0" borderId="129" xfId="0" applyNumberFormat="1" applyFont="1" applyBorder="1" applyAlignment="1" applyProtection="1">
      <alignment horizontal="center"/>
    </xf>
    <xf numFmtId="4" fontId="8" fillId="0" borderId="129" xfId="0" applyNumberFormat="1" applyFont="1" applyBorder="1" applyAlignment="1" applyProtection="1">
      <alignment horizontal="center"/>
    </xf>
    <xf numFmtId="4" fontId="8" fillId="0" borderId="146" xfId="0" applyNumberFormat="1" applyFont="1" applyBorder="1" applyAlignment="1" applyProtection="1">
      <alignment horizontal="center"/>
    </xf>
    <xf numFmtId="10" fontId="8" fillId="0" borderId="159" xfId="0" applyNumberFormat="1" applyFont="1" applyBorder="1" applyAlignment="1" applyProtection="1">
      <alignment horizontal="center"/>
    </xf>
    <xf numFmtId="10" fontId="8" fillId="0" borderId="160" xfId="0" applyNumberFormat="1" applyFont="1" applyBorder="1" applyAlignment="1" applyProtection="1">
      <alignment horizontal="center"/>
    </xf>
    <xf numFmtId="4" fontId="0" fillId="0" borderId="156" xfId="0" applyNumberFormat="1" applyFont="1" applyBorder="1" applyAlignment="1" applyProtection="1">
      <alignment horizontal="center"/>
    </xf>
    <xf numFmtId="4" fontId="0" fillId="0" borderId="161" xfId="0" applyNumberFormat="1" applyFont="1" applyBorder="1" applyAlignment="1" applyProtection="1">
      <alignment horizontal="center"/>
    </xf>
    <xf numFmtId="4" fontId="8" fillId="0" borderId="161" xfId="0" applyNumberFormat="1" applyFont="1" applyBorder="1" applyAlignment="1" applyProtection="1">
      <alignment horizontal="center"/>
    </xf>
    <xf numFmtId="4" fontId="8" fillId="0" borderId="157" xfId="0" applyNumberFormat="1" applyFont="1" applyBorder="1" applyAlignment="1" applyProtection="1">
      <alignment horizontal="center"/>
    </xf>
    <xf numFmtId="0" fontId="14" fillId="0" borderId="0" xfId="2" applyFont="1" applyAlignment="1">
      <alignment horizontal="left"/>
    </xf>
    <xf numFmtId="0" fontId="17" fillId="0" borderId="0" xfId="2" applyFont="1" applyAlignment="1"/>
    <xf numFmtId="4" fontId="0" fillId="0" borderId="36" xfId="1" applyNumberFormat="1" applyFont="1" applyBorder="1" applyAlignment="1" applyProtection="1">
      <alignment horizontal="center" vertical="center"/>
    </xf>
    <xf numFmtId="4" fontId="65" fillId="0" borderId="36" xfId="1" applyNumberFormat="1" applyFont="1" applyBorder="1" applyAlignment="1" applyProtection="1">
      <alignment horizontal="center" vertical="center"/>
    </xf>
    <xf numFmtId="4" fontId="66" fillId="32" borderId="36" xfId="0" applyNumberFormat="1" applyFont="1" applyFill="1" applyBorder="1" applyAlignment="1">
      <alignment horizontal="center"/>
    </xf>
    <xf numFmtId="4" fontId="66" fillId="41" borderId="27" xfId="0" applyNumberFormat="1" applyFont="1" applyFill="1" applyBorder="1" applyAlignment="1">
      <alignment horizontal="center" vertical="center"/>
    </xf>
    <xf numFmtId="10" fontId="76" fillId="41" borderId="27" xfId="1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4" fontId="65" fillId="42" borderId="31" xfId="1" applyNumberFormat="1" applyFont="1" applyFill="1" applyBorder="1" applyProtection="1"/>
    <xf numFmtId="0" fontId="22" fillId="0" borderId="0" xfId="2" applyFont="1" applyAlignment="1">
      <alignment horizontal="center" vertical="center"/>
    </xf>
    <xf numFmtId="14" fontId="12" fillId="0" borderId="0" xfId="2" applyNumberFormat="1" applyAlignment="1">
      <alignment horizontal="center" vertical="center"/>
    </xf>
    <xf numFmtId="0" fontId="22" fillId="0" borderId="0" xfId="2" applyFont="1" applyAlignment="1">
      <alignment horizontal="center"/>
    </xf>
    <xf numFmtId="14" fontId="2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22" fillId="0" borderId="27" xfId="2" applyFont="1" applyBorder="1" applyAlignment="1">
      <alignment horizontal="center" vertical="center" wrapText="1"/>
    </xf>
    <xf numFmtId="0" fontId="12" fillId="0" borderId="164" xfId="2" applyBorder="1"/>
    <xf numFmtId="0" fontId="12" fillId="0" borderId="165" xfId="2" applyBorder="1"/>
    <xf numFmtId="0" fontId="12" fillId="57" borderId="165" xfId="2" applyFill="1" applyBorder="1"/>
    <xf numFmtId="0" fontId="12" fillId="57" borderId="166" xfId="2" applyFill="1" applyBorder="1"/>
    <xf numFmtId="0" fontId="14" fillId="57" borderId="166" xfId="2" applyFont="1" applyFill="1" applyBorder="1" applyAlignment="1"/>
    <xf numFmtId="0" fontId="8" fillId="4" borderId="129" xfId="0" applyFont="1" applyFill="1" applyBorder="1" applyProtection="1"/>
    <xf numFmtId="0" fontId="22" fillId="0" borderId="167" xfId="2" applyFont="1" applyBorder="1"/>
    <xf numFmtId="0" fontId="22" fillId="0" borderId="168" xfId="2" applyFont="1" applyBorder="1"/>
    <xf numFmtId="10" fontId="8" fillId="2" borderId="126" xfId="0" applyNumberFormat="1" applyFont="1" applyFill="1" applyBorder="1" applyProtection="1"/>
    <xf numFmtId="10" fontId="0" fillId="0" borderId="30" xfId="0" applyNumberFormat="1" applyBorder="1" applyAlignment="1" applyProtection="1">
      <alignment horizontal="center" vertical="center"/>
    </xf>
    <xf numFmtId="10" fontId="0" fillId="0" borderId="128" xfId="0" applyNumberForma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 vertical="center"/>
    </xf>
    <xf numFmtId="10" fontId="2" fillId="0" borderId="30" xfId="0" applyNumberFormat="1" applyFon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 vertical="center"/>
    </xf>
    <xf numFmtId="10" fontId="2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Border="1" applyAlignment="1" applyProtection="1">
      <alignment horizontal="center" vertical="center"/>
    </xf>
    <xf numFmtId="10" fontId="2" fillId="0" borderId="55" xfId="0" applyNumberFormat="1" applyFont="1" applyBorder="1" applyAlignment="1" applyProtection="1">
      <alignment horizontal="center" vertical="center"/>
    </xf>
    <xf numFmtId="10" fontId="8" fillId="0" borderId="104" xfId="1" applyNumberFormat="1" applyFont="1" applyBorder="1" applyProtection="1"/>
    <xf numFmtId="10" fontId="8" fillId="0" borderId="126" xfId="1" applyNumberFormat="1" applyFont="1" applyBorder="1" applyProtection="1"/>
    <xf numFmtId="10" fontId="8" fillId="0" borderId="121" xfId="1" applyNumberFormat="1" applyFont="1" applyBorder="1" applyProtection="1"/>
    <xf numFmtId="10" fontId="10" fillId="7" borderId="129" xfId="0" applyNumberFormat="1" applyFont="1" applyFill="1" applyBorder="1" applyAlignment="1" applyProtection="1"/>
    <xf numFmtId="10" fontId="10" fillId="7" borderId="126" xfId="0" applyNumberFormat="1" applyFont="1" applyFill="1" applyBorder="1" applyAlignment="1" applyProtection="1"/>
    <xf numFmtId="0" fontId="8" fillId="38" borderId="85" xfId="0" applyFont="1" applyFill="1" applyBorder="1" applyAlignment="1" applyProtection="1">
      <alignment horizontal="center" vertical="center"/>
      <protection locked="0"/>
    </xf>
    <xf numFmtId="4" fontId="8" fillId="0" borderId="129" xfId="0" applyNumberFormat="1" applyFont="1" applyBorder="1" applyProtection="1"/>
    <xf numFmtId="4" fontId="8" fillId="0" borderId="143" xfId="0" applyNumberFormat="1" applyFont="1" applyBorder="1" applyProtection="1"/>
    <xf numFmtId="0" fontId="8" fillId="38" borderId="37" xfId="0" applyFont="1" applyFill="1" applyBorder="1" applyAlignment="1" applyProtection="1">
      <alignment horizontal="center" vertical="center"/>
      <protection locked="0"/>
    </xf>
    <xf numFmtId="0" fontId="8" fillId="36" borderId="85" xfId="0" applyNumberFormat="1" applyFont="1" applyFill="1" applyBorder="1" applyProtection="1">
      <protection locked="0"/>
    </xf>
    <xf numFmtId="10" fontId="38" fillId="46" borderId="169" xfId="2" applyNumberFormat="1" applyFont="1" applyFill="1" applyBorder="1" applyAlignment="1">
      <alignment horizontal="center" vertical="center"/>
    </xf>
    <xf numFmtId="0" fontId="39" fillId="0" borderId="0" xfId="2" applyFont="1" applyFill="1" applyBorder="1" applyAlignment="1">
      <alignment horizontal="center" vertical="center" wrapText="1"/>
    </xf>
    <xf numFmtId="10" fontId="40" fillId="0" borderId="0" xfId="2" applyNumberFormat="1" applyFont="1" applyFill="1" applyBorder="1" applyAlignment="1">
      <alignment horizontal="center" vertical="center"/>
    </xf>
    <xf numFmtId="10" fontId="38" fillId="0" borderId="0" xfId="2" applyNumberFormat="1" applyFont="1" applyFill="1" applyBorder="1" applyAlignment="1">
      <alignment horizontal="center" vertical="center"/>
    </xf>
    <xf numFmtId="10" fontId="72" fillId="0" borderId="0" xfId="4" applyNumberFormat="1" applyFont="1" applyFill="1" applyBorder="1" applyAlignment="1">
      <alignment horizontal="center" vertical="center"/>
    </xf>
    <xf numFmtId="0" fontId="0" fillId="0" borderId="41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8" fillId="0" borderId="32" xfId="0" applyNumberFormat="1" applyFont="1" applyBorder="1"/>
    <xf numFmtId="0" fontId="8" fillId="0" borderId="32" xfId="0" applyFont="1" applyBorder="1"/>
    <xf numFmtId="4" fontId="0" fillId="0" borderId="28" xfId="0" applyNumberFormat="1" applyBorder="1"/>
    <xf numFmtId="4" fontId="0" fillId="0" borderId="29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0" fontId="0" fillId="0" borderId="27" xfId="0" applyBorder="1" applyAlignment="1">
      <alignment horizontal="left"/>
    </xf>
    <xf numFmtId="0" fontId="5" fillId="0" borderId="27" xfId="0" applyFont="1" applyBorder="1"/>
    <xf numFmtId="0" fontId="0" fillId="0" borderId="27" xfId="0" applyBorder="1" applyAlignment="1">
      <alignment horizontal="left" vertical="center"/>
    </xf>
    <xf numFmtId="4" fontId="0" fillId="0" borderId="92" xfId="0" applyNumberFormat="1" applyBorder="1"/>
    <xf numFmtId="4" fontId="0" fillId="0" borderId="93" xfId="0" applyNumberFormat="1" applyBorder="1"/>
    <xf numFmtId="4" fontId="0" fillId="0" borderId="0" xfId="0" applyNumberFormat="1"/>
    <xf numFmtId="1" fontId="8" fillId="0" borderId="121" xfId="1" applyNumberFormat="1" applyFont="1" applyBorder="1" applyProtection="1">
      <protection locked="0"/>
    </xf>
    <xf numFmtId="4" fontId="77" fillId="41" borderId="27" xfId="0" applyNumberFormat="1" applyFont="1" applyFill="1" applyBorder="1" applyAlignment="1">
      <alignment horizontal="center"/>
    </xf>
    <xf numFmtId="4" fontId="68" fillId="32" borderId="27" xfId="0" applyNumberFormat="1" applyFont="1" applyFill="1" applyBorder="1" applyAlignment="1">
      <alignment horizontal="center"/>
    </xf>
    <xf numFmtId="10" fontId="65" fillId="42" borderId="42" xfId="1" applyNumberFormat="1" applyFont="1" applyFill="1" applyBorder="1" applyAlignment="1" applyProtection="1">
      <alignment horizontal="right" vertical="center"/>
    </xf>
    <xf numFmtId="10" fontId="65" fillId="50" borderId="43" xfId="1" applyNumberFormat="1" applyFont="1" applyFill="1" applyBorder="1" applyAlignment="1" applyProtection="1">
      <alignment horizontal="right" vertical="center"/>
    </xf>
    <xf numFmtId="10" fontId="65" fillId="42" borderId="59" xfId="1" applyNumberFormat="1" applyFont="1" applyFill="1" applyBorder="1" applyAlignment="1" applyProtection="1">
      <alignment vertical="center"/>
    </xf>
    <xf numFmtId="10" fontId="65" fillId="42" borderId="126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vertical="center"/>
    </xf>
    <xf numFmtId="10" fontId="8" fillId="41" borderId="43" xfId="0" applyNumberFormat="1" applyFont="1" applyFill="1" applyBorder="1" applyProtection="1"/>
    <xf numFmtId="14" fontId="1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2" fillId="57" borderId="171" xfId="2" applyFill="1" applyBorder="1"/>
    <xf numFmtId="0" fontId="22" fillId="0" borderId="0" xfId="2" applyFont="1" applyBorder="1" applyAlignment="1">
      <alignment horizontal="center" vertical="center" wrapText="1"/>
    </xf>
    <xf numFmtId="0" fontId="14" fillId="0" borderId="0" xfId="2" applyFont="1" applyBorder="1" applyAlignment="1"/>
    <xf numFmtId="0" fontId="14" fillId="0" borderId="0" xfId="2" applyFont="1" applyAlignment="1"/>
    <xf numFmtId="0" fontId="22" fillId="39" borderId="27" xfId="2" applyFont="1" applyFill="1" applyBorder="1" applyAlignment="1">
      <alignment horizontal="center" vertical="center"/>
    </xf>
    <xf numFmtId="0" fontId="22" fillId="0" borderId="33" xfId="2" applyFont="1" applyBorder="1" applyAlignment="1">
      <alignment horizontal="center" vertical="center" wrapText="1"/>
    </xf>
    <xf numFmtId="0" fontId="14" fillId="57" borderId="172" xfId="2" applyFont="1" applyFill="1" applyBorder="1" applyAlignment="1"/>
    <xf numFmtId="0" fontId="22" fillId="0" borderId="41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/>
    <xf numFmtId="0" fontId="22" fillId="0" borderId="41" xfId="2" applyFont="1" applyFill="1" applyBorder="1"/>
    <xf numFmtId="0" fontId="12" fillId="0" borderId="41" xfId="2" applyFill="1" applyBorder="1"/>
    <xf numFmtId="0" fontId="14" fillId="0" borderId="0" xfId="2" applyFont="1" applyFill="1" applyBorder="1" applyAlignment="1"/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10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9" fillId="16" borderId="2" xfId="2" applyFont="1" applyFill="1" applyBorder="1" applyAlignment="1">
      <alignment horizontal="center"/>
    </xf>
    <xf numFmtId="0" fontId="19" fillId="17" borderId="2" xfId="2" applyFont="1" applyFill="1" applyBorder="1" applyAlignment="1">
      <alignment horizontal="center"/>
    </xf>
    <xf numFmtId="0" fontId="19" fillId="9" borderId="2" xfId="2" applyFont="1" applyFill="1" applyBorder="1" applyAlignment="1">
      <alignment horizontal="center"/>
    </xf>
    <xf numFmtId="0" fontId="19" fillId="26" borderId="2" xfId="2" applyFont="1" applyFill="1" applyBorder="1" applyAlignment="1">
      <alignment horizontal="center"/>
    </xf>
    <xf numFmtId="0" fontId="19" fillId="11" borderId="2" xfId="2" applyFont="1" applyFill="1" applyBorder="1" applyAlignment="1">
      <alignment horizontal="center"/>
    </xf>
    <xf numFmtId="0" fontId="19" fillId="10" borderId="2" xfId="2" applyFont="1" applyFill="1" applyBorder="1" applyAlignment="1">
      <alignment horizontal="center"/>
    </xf>
    <xf numFmtId="0" fontId="19" fillId="18" borderId="2" xfId="2" applyFont="1" applyFill="1" applyBorder="1" applyAlignment="1">
      <alignment horizontal="center"/>
    </xf>
    <xf numFmtId="0" fontId="19" fillId="25" borderId="2" xfId="2" applyFont="1" applyFill="1" applyBorder="1" applyAlignment="1">
      <alignment horizontal="center"/>
    </xf>
    <xf numFmtId="0" fontId="19" fillId="20" borderId="2" xfId="2" applyFont="1" applyFill="1" applyBorder="1" applyAlignment="1">
      <alignment horizontal="center"/>
    </xf>
    <xf numFmtId="0" fontId="19" fillId="21" borderId="2" xfId="2" applyFont="1" applyFill="1" applyBorder="1" applyAlignment="1">
      <alignment horizontal="center"/>
    </xf>
    <xf numFmtId="0" fontId="19" fillId="12" borderId="175" xfId="2" applyFont="1" applyFill="1" applyBorder="1" applyAlignment="1">
      <alignment horizontal="center"/>
    </xf>
    <xf numFmtId="0" fontId="15" fillId="9" borderId="48" xfId="2" applyFont="1" applyFill="1" applyBorder="1" applyAlignment="1">
      <alignment horizontal="left" vertical="center"/>
    </xf>
    <xf numFmtId="0" fontId="19" fillId="21" borderId="175" xfId="2" applyFont="1" applyFill="1" applyBorder="1" applyAlignment="1">
      <alignment horizontal="center"/>
    </xf>
    <xf numFmtId="0" fontId="19" fillId="24" borderId="2" xfId="2" applyFont="1" applyFill="1" applyBorder="1" applyAlignment="1">
      <alignment horizontal="center" vertical="center"/>
    </xf>
    <xf numFmtId="0" fontId="19" fillId="24" borderId="175" xfId="2" applyFont="1" applyFill="1" applyBorder="1" applyAlignment="1">
      <alignment horizontal="center" vertical="center"/>
    </xf>
    <xf numFmtId="0" fontId="18" fillId="9" borderId="72" xfId="2" applyFont="1" applyFill="1" applyBorder="1" applyAlignment="1">
      <alignment horizontal="center" vertical="center"/>
    </xf>
    <xf numFmtId="169" fontId="27" fillId="42" borderId="1" xfId="3" applyNumberFormat="1" applyFont="1" applyFill="1" applyBorder="1"/>
    <xf numFmtId="169" fontId="22" fillId="42" borderId="1" xfId="3" applyNumberFormat="1" applyFont="1" applyFill="1" applyBorder="1"/>
    <xf numFmtId="167" fontId="22" fillId="42" borderId="1" xfId="3" applyNumberFormat="1" applyFont="1" applyFill="1" applyBorder="1"/>
    <xf numFmtId="2" fontId="40" fillId="47" borderId="63" xfId="2" applyNumberFormat="1" applyFont="1" applyFill="1" applyBorder="1" applyAlignment="1">
      <alignment horizontal="center" vertical="center"/>
    </xf>
    <xf numFmtId="0" fontId="39" fillId="43" borderId="37" xfId="2" applyFont="1" applyFill="1" applyBorder="1" applyAlignment="1" applyProtection="1">
      <alignment horizontal="center" vertical="center"/>
      <protection locked="0"/>
    </xf>
    <xf numFmtId="0" fontId="39" fillId="43" borderId="38" xfId="2" applyFont="1" applyFill="1" applyBorder="1" applyAlignment="1" applyProtection="1">
      <alignment horizontal="center" vertical="center"/>
      <protection locked="0"/>
    </xf>
    <xf numFmtId="0" fontId="39" fillId="43" borderId="87" xfId="2" applyFont="1" applyFill="1" applyBorder="1" applyAlignment="1" applyProtection="1">
      <alignment horizontal="center" vertical="center"/>
      <protection locked="0"/>
    </xf>
    <xf numFmtId="0" fontId="39" fillId="43" borderId="27" xfId="2" applyFont="1" applyFill="1" applyBorder="1" applyAlignment="1" applyProtection="1">
      <alignment horizontal="center" vertical="center"/>
      <protection locked="0"/>
    </xf>
    <xf numFmtId="0" fontId="39" fillId="43" borderId="120" xfId="2" applyFont="1" applyFill="1" applyBorder="1" applyAlignment="1" applyProtection="1">
      <alignment horizontal="center" vertical="center"/>
      <protection locked="0"/>
    </xf>
    <xf numFmtId="0" fontId="39" fillId="43" borderId="130" xfId="2" applyFont="1" applyFill="1" applyBorder="1" applyAlignment="1" applyProtection="1">
      <alignment horizontal="center" vertical="center"/>
      <protection locked="0"/>
    </xf>
    <xf numFmtId="0" fontId="39" fillId="43" borderId="37" xfId="2" applyFont="1" applyFill="1" applyBorder="1" applyAlignment="1" applyProtection="1">
      <alignment horizontal="center" vertical="center"/>
    </xf>
    <xf numFmtId="0" fontId="39" fillId="43" borderId="38" xfId="2" applyFont="1" applyFill="1" applyBorder="1" applyAlignment="1" applyProtection="1">
      <alignment horizontal="center" vertical="center"/>
    </xf>
    <xf numFmtId="0" fontId="39" fillId="43" borderId="179" xfId="2" applyFont="1" applyFill="1" applyBorder="1" applyAlignment="1" applyProtection="1">
      <alignment horizontal="center" vertical="center"/>
    </xf>
    <xf numFmtId="0" fontId="15" fillId="9" borderId="180" xfId="2" applyFont="1" applyFill="1" applyBorder="1"/>
    <xf numFmtId="0" fontId="19" fillId="24" borderId="2" xfId="2" applyFont="1" applyFill="1" applyBorder="1" applyAlignment="1">
      <alignment horizontal="center"/>
    </xf>
    <xf numFmtId="0" fontId="19" fillId="24" borderId="175" xfId="2" applyFont="1" applyFill="1" applyBorder="1" applyAlignment="1">
      <alignment horizontal="center"/>
    </xf>
    <xf numFmtId="10" fontId="14" fillId="9" borderId="72" xfId="2" applyNumberFormat="1" applyFont="1" applyFill="1" applyBorder="1"/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20" fillId="0" borderId="182" xfId="5" applyFont="1" applyBorder="1"/>
    <xf numFmtId="4" fontId="21" fillId="0" borderId="2" xfId="5" applyNumberFormat="1" applyFont="1" applyBorder="1"/>
    <xf numFmtId="0" fontId="20" fillId="0" borderId="18" xfId="5" applyFont="1" applyBorder="1"/>
    <xf numFmtId="0" fontId="20" fillId="0" borderId="0" xfId="5" applyFont="1" applyFill="1" applyBorder="1"/>
    <xf numFmtId="4" fontId="20" fillId="0" borderId="17" xfId="5" applyNumberFormat="1" applyFont="1" applyBorder="1"/>
    <xf numFmtId="4" fontId="20" fillId="0" borderId="19" xfId="5" applyNumberFormat="1" applyFont="1" applyBorder="1"/>
    <xf numFmtId="2" fontId="12" fillId="0" borderId="0" xfId="2" applyNumberFormat="1"/>
    <xf numFmtId="10" fontId="5" fillId="0" borderId="128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/>
    </xf>
    <xf numFmtId="10" fontId="0" fillId="0" borderId="142" xfId="0" applyNumberFormat="1" applyBorder="1" applyAlignment="1" applyProtection="1">
      <alignment horizontal="center" vertical="center"/>
    </xf>
    <xf numFmtId="10" fontId="0" fillId="0" borderId="151" xfId="0" applyNumberFormat="1" applyBorder="1" applyAlignment="1" applyProtection="1">
      <alignment horizontal="center" vertical="center"/>
    </xf>
    <xf numFmtId="0" fontId="44" fillId="0" borderId="85" xfId="0" applyFont="1" applyBorder="1" applyAlignment="1"/>
    <xf numFmtId="0" fontId="51" fillId="0" borderId="85" xfId="0" applyFont="1" applyBorder="1" applyAlignment="1"/>
    <xf numFmtId="4" fontId="85" fillId="41" borderId="30" xfId="0" applyNumberFormat="1" applyFont="1" applyFill="1" applyBorder="1"/>
    <xf numFmtId="10" fontId="85" fillId="32" borderId="110" xfId="1" applyNumberFormat="1" applyFont="1" applyFill="1" applyBorder="1"/>
    <xf numFmtId="10" fontId="85" fillId="41" borderId="110" xfId="1" applyNumberFormat="1" applyFont="1" applyFill="1" applyBorder="1"/>
    <xf numFmtId="4" fontId="85" fillId="32" borderId="30" xfId="0" applyNumberFormat="1" applyFont="1" applyFill="1" applyBorder="1"/>
    <xf numFmtId="4" fontId="0" fillId="41" borderId="104" xfId="0" applyNumberFormat="1" applyFill="1" applyBorder="1"/>
    <xf numFmtId="4" fontId="0" fillId="32" borderId="183" xfId="0" applyNumberFormat="1" applyFill="1" applyBorder="1"/>
    <xf numFmtId="10" fontId="5" fillId="0" borderId="30" xfId="0" applyNumberFormat="1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10" fontId="0" fillId="0" borderId="30" xfId="0" applyNumberFormat="1" applyBorder="1" applyAlignment="1" applyProtection="1">
      <alignment horizontal="center"/>
    </xf>
    <xf numFmtId="0" fontId="8" fillId="0" borderId="184" xfId="0" applyNumberFormat="1" applyFont="1" applyFill="1" applyBorder="1"/>
    <xf numFmtId="10" fontId="0" fillId="0" borderId="104" xfId="0" applyNumberFormat="1" applyBorder="1" applyAlignment="1" applyProtection="1">
      <alignment horizontal="center" vertical="center"/>
    </xf>
    <xf numFmtId="10" fontId="2" fillId="0" borderId="104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 vertical="center"/>
    </xf>
    <xf numFmtId="0" fontId="8" fillId="39" borderId="34" xfId="0" applyFont="1" applyFill="1" applyBorder="1" applyAlignment="1" applyProtection="1">
      <alignment horizontal="center"/>
    </xf>
    <xf numFmtId="0" fontId="8" fillId="5" borderId="34" xfId="0" applyFont="1" applyFill="1" applyBorder="1" applyAlignment="1">
      <alignment horizontal="center" vertical="center"/>
    </xf>
    <xf numFmtId="0" fontId="8" fillId="0" borderId="108" xfId="0" applyFont="1" applyBorder="1" applyProtection="1"/>
    <xf numFmtId="0" fontId="8" fillId="0" borderId="185" xfId="0" applyFont="1" applyBorder="1" applyProtection="1"/>
    <xf numFmtId="0" fontId="8" fillId="0" borderId="186" xfId="0" applyFont="1" applyBorder="1" applyProtection="1"/>
    <xf numFmtId="0" fontId="8" fillId="0" borderId="187" xfId="0" applyFont="1" applyBorder="1" applyProtection="1"/>
    <xf numFmtId="4" fontId="8" fillId="41" borderId="188" xfId="0" applyNumberFormat="1" applyFont="1" applyFill="1" applyBorder="1" applyProtection="1"/>
    <xf numFmtId="0" fontId="8" fillId="0" borderId="27" xfId="0" applyFont="1" applyBorder="1" applyProtection="1"/>
    <xf numFmtId="4" fontId="8" fillId="41" borderId="27" xfId="0" applyNumberFormat="1" applyFont="1" applyFill="1" applyBorder="1" applyProtection="1"/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Protection="1"/>
    <xf numFmtId="0" fontId="8" fillId="0" borderId="85" xfId="0" applyFont="1" applyBorder="1" applyProtection="1"/>
    <xf numFmtId="4" fontId="8" fillId="41" borderId="85" xfId="0" applyNumberFormat="1" applyFont="1" applyFill="1" applyBorder="1" applyProtection="1"/>
    <xf numFmtId="4" fontId="8" fillId="41" borderId="36" xfId="0" applyNumberFormat="1" applyFont="1" applyFill="1" applyBorder="1" applyProtection="1"/>
    <xf numFmtId="2" fontId="8" fillId="0" borderId="121" xfId="1" applyNumberFormat="1" applyFont="1" applyBorder="1" applyProtection="1">
      <protection locked="0"/>
    </xf>
    <xf numFmtId="2" fontId="8" fillId="0" borderId="126" xfId="1" applyNumberFormat="1" applyFont="1" applyBorder="1" applyProtection="1">
      <protection locked="0"/>
    </xf>
    <xf numFmtId="0" fontId="11" fillId="42" borderId="6" xfId="0" applyFont="1" applyFill="1" applyBorder="1" applyAlignment="1">
      <alignment horizontal="right"/>
    </xf>
    <xf numFmtId="0" fontId="11" fillId="42" borderId="6" xfId="0" applyFont="1" applyFill="1" applyBorder="1" applyAlignment="1">
      <alignment horizontal="left"/>
    </xf>
    <xf numFmtId="0" fontId="11" fillId="32" borderId="173" xfId="0" applyFont="1" applyFill="1" applyBorder="1" applyAlignment="1">
      <alignment horizontal="right"/>
    </xf>
    <xf numFmtId="9" fontId="11" fillId="32" borderId="173" xfId="1" applyFont="1" applyFill="1" applyBorder="1" applyAlignment="1">
      <alignment horizontal="left"/>
    </xf>
    <xf numFmtId="0" fontId="10" fillId="31" borderId="114" xfId="0" applyFont="1" applyFill="1" applyBorder="1"/>
    <xf numFmtId="0" fontId="11" fillId="32" borderId="2" xfId="0" applyFont="1" applyFill="1" applyBorder="1"/>
    <xf numFmtId="0" fontId="10" fillId="32" borderId="2" xfId="0" applyFont="1" applyFill="1" applyBorder="1"/>
    <xf numFmtId="164" fontId="10" fillId="32" borderId="2" xfId="0" applyNumberFormat="1" applyFont="1" applyFill="1" applyBorder="1"/>
    <xf numFmtId="10" fontId="10" fillId="32" borderId="2" xfId="1" applyNumberFormat="1" applyFont="1" applyFill="1" applyBorder="1"/>
    <xf numFmtId="0" fontId="68" fillId="31" borderId="191" xfId="0" applyFont="1" applyFill="1" applyBorder="1"/>
    <xf numFmtId="0" fontId="61" fillId="32" borderId="173" xfId="0" applyFont="1" applyFill="1" applyBorder="1"/>
    <xf numFmtId="0" fontId="11" fillId="32" borderId="173" xfId="0" applyFont="1" applyFill="1" applyBorder="1"/>
    <xf numFmtId="0" fontId="10" fillId="32" borderId="173" xfId="0" applyFont="1" applyFill="1" applyBorder="1"/>
    <xf numFmtId="2" fontId="10" fillId="32" borderId="173" xfId="0" applyNumberFormat="1" applyFont="1" applyFill="1" applyBorder="1"/>
    <xf numFmtId="10" fontId="10" fillId="32" borderId="189" xfId="1" applyNumberFormat="1" applyFont="1" applyFill="1" applyBorder="1"/>
    <xf numFmtId="2" fontId="11" fillId="32" borderId="2" xfId="1" applyNumberFormat="1" applyFont="1" applyFill="1" applyBorder="1" applyAlignment="1">
      <alignment horizontal="left"/>
    </xf>
    <xf numFmtId="2" fontId="11" fillId="32" borderId="25" xfId="1" applyNumberFormat="1" applyFont="1" applyFill="1" applyBorder="1" applyAlignment="1">
      <alignment horizontal="left"/>
    </xf>
    <xf numFmtId="0" fontId="87" fillId="32" borderId="2" xfId="0" applyFont="1" applyFill="1" applyBorder="1" applyAlignment="1">
      <alignment horizontal="right"/>
    </xf>
    <xf numFmtId="0" fontId="87" fillId="32" borderId="25" xfId="0" applyFont="1" applyFill="1" applyBorder="1" applyAlignment="1">
      <alignment horizontal="right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2" fontId="10" fillId="0" borderId="0" xfId="1" applyNumberFormat="1" applyFont="1" applyFill="1" applyBorder="1"/>
    <xf numFmtId="2" fontId="0" fillId="0" borderId="0" xfId="1" applyNumberFormat="1" applyFont="1" applyFill="1" applyBorder="1"/>
    <xf numFmtId="165" fontId="11" fillId="0" borderId="0" xfId="1" applyNumberFormat="1" applyFont="1" applyFill="1" applyBorder="1"/>
    <xf numFmtId="1" fontId="11" fillId="0" borderId="0" xfId="0" applyNumberFormat="1" applyFont="1" applyFill="1" applyBorder="1"/>
    <xf numFmtId="1" fontId="10" fillId="0" borderId="0" xfId="0" applyNumberFormat="1" applyFont="1" applyFill="1" applyBorder="1"/>
    <xf numFmtId="1" fontId="0" fillId="0" borderId="0" xfId="1" applyNumberFormat="1" applyFont="1" applyFill="1" applyBorder="1"/>
    <xf numFmtId="1" fontId="11" fillId="0" borderId="0" xfId="1" applyNumberFormat="1" applyFont="1" applyFill="1" applyBorder="1"/>
    <xf numFmtId="165" fontId="0" fillId="0" borderId="0" xfId="0" applyNumberFormat="1" applyFill="1" applyBorder="1"/>
    <xf numFmtId="165" fontId="11" fillId="0" borderId="0" xfId="0" applyNumberFormat="1" applyFont="1" applyFill="1" applyBorder="1"/>
    <xf numFmtId="0" fontId="11" fillId="0" borderId="6" xfId="0" applyFont="1" applyFill="1" applyBorder="1"/>
    <xf numFmtId="0" fontId="11" fillId="0" borderId="2" xfId="0" applyFont="1" applyFill="1" applyBorder="1"/>
    <xf numFmtId="0" fontId="87" fillId="0" borderId="2" xfId="0" applyFont="1" applyFill="1" applyBorder="1" applyAlignment="1">
      <alignment horizontal="right"/>
    </xf>
    <xf numFmtId="2" fontId="11" fillId="0" borderId="173" xfId="0" applyNumberFormat="1" applyFont="1" applyFill="1" applyBorder="1" applyAlignment="1">
      <alignment horizontal="left"/>
    </xf>
    <xf numFmtId="0" fontId="11" fillId="0" borderId="173" xfId="0" applyFont="1" applyFill="1" applyBorder="1"/>
    <xf numFmtId="2" fontId="10" fillId="32" borderId="190" xfId="1" applyNumberFormat="1" applyFont="1" applyFill="1" applyBorder="1"/>
    <xf numFmtId="2" fontId="10" fillId="32" borderId="26" xfId="1" applyNumberFormat="1" applyFont="1" applyFill="1" applyBorder="1"/>
    <xf numFmtId="0" fontId="12" fillId="0" borderId="193" xfId="2" applyBorder="1"/>
    <xf numFmtId="10" fontId="65" fillId="50" borderId="195" xfId="1" applyNumberFormat="1" applyFont="1" applyFill="1" applyBorder="1" applyAlignment="1" applyProtection="1">
      <alignment horizontal="right" vertical="center"/>
    </xf>
    <xf numFmtId="0" fontId="8" fillId="0" borderId="120" xfId="0" applyFont="1" applyBorder="1" applyProtection="1"/>
    <xf numFmtId="0" fontId="3" fillId="0" borderId="196" xfId="0" applyFont="1" applyFill="1" applyBorder="1" applyAlignment="1">
      <alignment horizontal="center"/>
    </xf>
    <xf numFmtId="4" fontId="17" fillId="0" borderId="192" xfId="2" applyNumberFormat="1" applyFont="1" applyBorder="1"/>
    <xf numFmtId="171" fontId="22" fillId="0" borderId="197" xfId="10" applyNumberFormat="1" applyFont="1" applyFill="1" applyBorder="1"/>
    <xf numFmtId="4" fontId="8" fillId="0" borderId="198" xfId="0" applyNumberFormat="1" applyFont="1" applyFill="1" applyBorder="1" applyProtection="1"/>
    <xf numFmtId="4" fontId="8" fillId="0" borderId="199" xfId="0" applyNumberFormat="1" applyFont="1" applyFill="1" applyBorder="1" applyProtection="1"/>
    <xf numFmtId="4" fontId="8" fillId="41" borderId="200" xfId="0" applyNumberFormat="1" applyFont="1" applyFill="1" applyBorder="1" applyProtection="1"/>
    <xf numFmtId="4" fontId="49" fillId="55" borderId="201" xfId="0" applyNumberFormat="1" applyFont="1" applyFill="1" applyBorder="1"/>
    <xf numFmtId="4" fontId="68" fillId="41" borderId="27" xfId="0" applyNumberFormat="1" applyFont="1" applyFill="1" applyBorder="1" applyAlignment="1">
      <alignment horizontal="center"/>
    </xf>
    <xf numFmtId="10" fontId="0" fillId="0" borderId="128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/>
    </xf>
    <xf numFmtId="10" fontId="0" fillId="0" borderId="151" xfId="0" applyNumberFormat="1" applyBorder="1" applyAlignment="1" applyProtection="1">
      <alignment horizontal="center"/>
    </xf>
    <xf numFmtId="10" fontId="2" fillId="0" borderId="55" xfId="0" applyNumberFormat="1" applyFont="1" applyBorder="1" applyAlignment="1" applyProtection="1">
      <alignment horizontal="center"/>
    </xf>
    <xf numFmtId="10" fontId="0" fillId="0" borderId="128" xfId="0" applyNumberFormat="1" applyFon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/>
    </xf>
    <xf numFmtId="10" fontId="2" fillId="0" borderId="143" xfId="0" applyNumberFormat="1" applyFont="1" applyBorder="1" applyAlignment="1" applyProtection="1">
      <alignment horizontal="center"/>
    </xf>
    <xf numFmtId="14" fontId="12" fillId="0" borderId="0" xfId="2" applyNumberFormat="1" applyAlignment="1">
      <alignment horizontal="center"/>
    </xf>
    <xf numFmtId="0" fontId="12" fillId="0" borderId="202" xfId="2" applyBorder="1"/>
    <xf numFmtId="0" fontId="12" fillId="0" borderId="206" xfId="2" applyBorder="1"/>
    <xf numFmtId="0" fontId="12" fillId="58" borderId="0" xfId="2" applyFill="1"/>
    <xf numFmtId="0" fontId="12" fillId="0" borderId="215" xfId="2" applyBorder="1"/>
    <xf numFmtId="0" fontId="14" fillId="0" borderId="0" xfId="2" applyFont="1" applyAlignment="1">
      <alignment horizontal="left"/>
    </xf>
    <xf numFmtId="0" fontId="14" fillId="0" borderId="0" xfId="2" applyFont="1" applyFill="1" applyBorder="1" applyAlignment="1">
      <alignment horizontal="left"/>
    </xf>
    <xf numFmtId="0" fontId="22" fillId="0" borderId="27" xfId="2" applyFont="1" applyBorder="1" applyAlignment="1">
      <alignment horizontal="center" vertical="center" shrinkToFit="1"/>
    </xf>
    <xf numFmtId="2" fontId="12" fillId="0" borderId="218" xfId="2" applyNumberFormat="1" applyBorder="1"/>
    <xf numFmtId="0" fontId="12" fillId="0" borderId="218" xfId="2" applyBorder="1"/>
    <xf numFmtId="0" fontId="39" fillId="10" borderId="201" xfId="2" applyFont="1" applyFill="1" applyBorder="1" applyAlignment="1">
      <alignment horizontal="center" vertical="center" wrapText="1"/>
    </xf>
    <xf numFmtId="10" fontId="40" fillId="47" borderId="220" xfId="2" applyNumberFormat="1" applyFont="1" applyFill="1" applyBorder="1" applyAlignment="1">
      <alignment horizontal="center" vertical="center"/>
    </xf>
    <xf numFmtId="10" fontId="38" fillId="47" borderId="220" xfId="2" applyNumberFormat="1" applyFont="1" applyFill="1" applyBorder="1" applyAlignment="1">
      <alignment horizontal="center" vertical="center"/>
    </xf>
    <xf numFmtId="10" fontId="72" fillId="47" borderId="53" xfId="4" applyNumberFormat="1" applyFont="1" applyFill="1" applyBorder="1" applyAlignment="1">
      <alignment horizontal="center" vertical="center"/>
    </xf>
    <xf numFmtId="175" fontId="17" fillId="0" borderId="1" xfId="2" applyNumberFormat="1" applyFont="1" applyBorder="1"/>
    <xf numFmtId="10" fontId="8" fillId="2" borderId="104" xfId="0" applyNumberFormat="1" applyFont="1" applyFill="1" applyBorder="1" applyProtection="1"/>
    <xf numFmtId="1" fontId="8" fillId="0" borderId="198" xfId="1" applyNumberFormat="1" applyFont="1" applyBorder="1" applyProtection="1">
      <protection locked="0"/>
    </xf>
    <xf numFmtId="1" fontId="8" fillId="0" borderId="223" xfId="1" applyNumberFormat="1" applyFont="1" applyBorder="1" applyProtection="1">
      <protection locked="0"/>
    </xf>
    <xf numFmtId="1" fontId="8" fillId="0" borderId="199" xfId="1" applyNumberFormat="1" applyFont="1" applyBorder="1" applyProtection="1">
      <protection locked="0"/>
    </xf>
    <xf numFmtId="10" fontId="8" fillId="0" borderId="198" xfId="1" applyNumberFormat="1" applyFont="1" applyBorder="1" applyProtection="1">
      <protection locked="0"/>
    </xf>
    <xf numFmtId="10" fontId="8" fillId="0" borderId="199" xfId="1" applyNumberFormat="1" applyFont="1" applyBorder="1" applyProtection="1">
      <protection locked="0"/>
    </xf>
    <xf numFmtId="2" fontId="8" fillId="0" borderId="198" xfId="1" applyNumberFormat="1" applyFont="1" applyBorder="1" applyProtection="1">
      <protection locked="0"/>
    </xf>
    <xf numFmtId="2" fontId="8" fillId="0" borderId="199" xfId="1" applyNumberFormat="1" applyFont="1" applyBorder="1" applyProtection="1">
      <protection locked="0"/>
    </xf>
    <xf numFmtId="0" fontId="14" fillId="0" borderId="0" xfId="2" applyFont="1" applyAlignment="1">
      <alignment horizontal="left"/>
    </xf>
    <xf numFmtId="0" fontId="8" fillId="0" borderId="224" xfId="0" applyNumberFormat="1" applyFont="1" applyFill="1" applyBorder="1"/>
    <xf numFmtId="2" fontId="65" fillId="42" borderId="225" xfId="1" applyNumberFormat="1" applyFont="1" applyFill="1" applyBorder="1" applyAlignment="1" applyProtection="1">
      <alignment vertical="center"/>
    </xf>
    <xf numFmtId="0" fontId="8" fillId="0" borderId="226" xfId="0" applyNumberFormat="1" applyFont="1" applyFill="1" applyBorder="1"/>
    <xf numFmtId="2" fontId="65" fillId="42" borderId="223" xfId="1" applyNumberFormat="1" applyFont="1" applyFill="1" applyBorder="1" applyAlignment="1" applyProtection="1">
      <alignment vertical="center"/>
    </xf>
    <xf numFmtId="0" fontId="65" fillId="42" borderId="227" xfId="1" applyNumberFormat="1" applyFont="1" applyFill="1" applyBorder="1" applyAlignment="1" applyProtection="1">
      <alignment vertical="center"/>
    </xf>
    <xf numFmtId="0" fontId="65" fillId="42" borderId="228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vertical="center"/>
    </xf>
    <xf numFmtId="4" fontId="65" fillId="42" borderId="223" xfId="0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/>
    <xf numFmtId="0" fontId="8" fillId="0" borderId="229" xfId="0" applyFont="1" applyBorder="1" applyProtection="1">
      <protection locked="0"/>
    </xf>
    <xf numFmtId="10" fontId="65" fillId="42" borderId="229" xfId="1" applyNumberFormat="1" applyFont="1" applyFill="1" applyBorder="1" applyProtection="1">
      <protection locked="0"/>
    </xf>
    <xf numFmtId="10" fontId="65" fillId="42" borderId="229" xfId="1" applyNumberFormat="1" applyFont="1" applyFill="1" applyBorder="1" applyProtection="1"/>
    <xf numFmtId="4" fontId="65" fillId="42" borderId="228" xfId="1" applyNumberFormat="1" applyFont="1" applyFill="1" applyBorder="1" applyProtection="1">
      <protection locked="0"/>
    </xf>
    <xf numFmtId="10" fontId="0" fillId="0" borderId="142" xfId="0" applyNumberFormat="1" applyBorder="1" applyAlignment="1" applyProtection="1">
      <alignment horizontal="center"/>
    </xf>
    <xf numFmtId="10" fontId="5" fillId="0" borderId="128" xfId="0" applyNumberFormat="1" applyFont="1" applyBorder="1" applyAlignment="1" applyProtection="1">
      <alignment horizontal="center"/>
    </xf>
    <xf numFmtId="10" fontId="0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Font="1" applyBorder="1" applyAlignment="1" applyProtection="1">
      <alignment horizontal="center" vertical="center"/>
    </xf>
    <xf numFmtId="4" fontId="65" fillId="42" borderId="230" xfId="0" applyNumberFormat="1" applyFont="1" applyFill="1" applyBorder="1" applyProtection="1">
      <protection locked="0"/>
    </xf>
    <xf numFmtId="4" fontId="65" fillId="42" borderId="230" xfId="1" applyNumberFormat="1" applyFont="1" applyFill="1" applyBorder="1" applyProtection="1">
      <protection locked="0"/>
    </xf>
    <xf numFmtId="10" fontId="65" fillId="42" borderId="230" xfId="0" applyNumberFormat="1" applyFont="1" applyFill="1" applyBorder="1" applyProtection="1">
      <protection locked="0"/>
    </xf>
    <xf numFmtId="10" fontId="65" fillId="42" borderId="230" xfId="1" applyNumberFormat="1" applyFont="1" applyFill="1" applyBorder="1" applyProtection="1">
      <protection locked="0"/>
    </xf>
    <xf numFmtId="0" fontId="12" fillId="0" borderId="0" xfId="2" applyFill="1" applyBorder="1"/>
    <xf numFmtId="14" fontId="12" fillId="0" borderId="0" xfId="2" applyNumberFormat="1" applyFon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/>
    </xf>
    <xf numFmtId="0" fontId="14" fillId="0" borderId="207" xfId="2" applyFont="1" applyFill="1" applyBorder="1" applyAlignment="1">
      <alignment horizontal="left"/>
    </xf>
    <xf numFmtId="0" fontId="14" fillId="0" borderId="208" xfId="2" applyFont="1" applyFill="1" applyBorder="1" applyAlignment="1">
      <alignment horizontal="left"/>
    </xf>
    <xf numFmtId="0" fontId="14" fillId="0" borderId="211" xfId="2" applyFont="1" applyFill="1" applyBorder="1" applyAlignment="1">
      <alignment horizontal="left"/>
    </xf>
    <xf numFmtId="0" fontId="14" fillId="0" borderId="212" xfId="2" applyFont="1" applyFill="1" applyBorder="1" applyAlignment="1">
      <alignment horizontal="left"/>
    </xf>
    <xf numFmtId="14" fontId="12" fillId="0" borderId="0" xfId="2" applyNumberFormat="1" applyBorder="1" applyAlignment="1">
      <alignment horizontal="center" vertical="center"/>
    </xf>
    <xf numFmtId="0" fontId="12" fillId="0" borderId="214" xfId="2" applyBorder="1"/>
    <xf numFmtId="4" fontId="8" fillId="4" borderId="234" xfId="0" applyNumberFormat="1" applyFont="1" applyFill="1" applyBorder="1" applyProtection="1"/>
    <xf numFmtId="2" fontId="12" fillId="0" borderId="193" xfId="2" applyNumberFormat="1" applyBorder="1"/>
    <xf numFmtId="4" fontId="8" fillId="0" borderId="221" xfId="0" applyNumberFormat="1" applyFont="1" applyFill="1" applyBorder="1" applyProtection="1"/>
    <xf numFmtId="4" fontId="8" fillId="0" borderId="222" xfId="0" applyNumberFormat="1" applyFont="1" applyFill="1" applyBorder="1" applyProtection="1"/>
    <xf numFmtId="4" fontId="8" fillId="0" borderId="237" xfId="0" applyNumberFormat="1" applyFont="1" applyFill="1" applyBorder="1" applyProtection="1"/>
    <xf numFmtId="4" fontId="8" fillId="0" borderId="230" xfId="0" applyNumberFormat="1" applyFont="1" applyFill="1" applyBorder="1" applyProtection="1"/>
    <xf numFmtId="4" fontId="0" fillId="41" borderId="229" xfId="0" applyNumberFormat="1" applyFill="1" applyBorder="1"/>
    <xf numFmtId="4" fontId="0" fillId="41" borderId="222" xfId="0" applyNumberFormat="1" applyFill="1" applyBorder="1"/>
    <xf numFmtId="4" fontId="0" fillId="41" borderId="238" xfId="0" applyNumberFormat="1" applyFill="1" applyBorder="1"/>
    <xf numFmtId="4" fontId="0" fillId="41" borderId="239" xfId="0" applyNumberFormat="1" applyFill="1" applyBorder="1"/>
    <xf numFmtId="4" fontId="0" fillId="41" borderId="240" xfId="0" applyNumberFormat="1" applyFill="1" applyBorder="1"/>
    <xf numFmtId="4" fontId="0" fillId="32" borderId="240" xfId="0" applyNumberFormat="1" applyFill="1" applyBorder="1"/>
    <xf numFmtId="4" fontId="0" fillId="32" borderId="229" xfId="0" applyNumberFormat="1" applyFill="1" applyBorder="1"/>
    <xf numFmtId="10" fontId="49" fillId="41" borderId="200" xfId="1" applyNumberFormat="1" applyFont="1" applyFill="1" applyBorder="1"/>
    <xf numFmtId="10" fontId="49" fillId="41" borderId="241" xfId="1" applyNumberFormat="1" applyFont="1" applyFill="1" applyBorder="1"/>
    <xf numFmtId="10" fontId="49" fillId="41" borderId="94" xfId="1" applyNumberFormat="1" applyFont="1" applyFill="1" applyBorder="1"/>
    <xf numFmtId="10" fontId="49" fillId="41" borderId="27" xfId="1" applyNumberFormat="1" applyFont="1" applyFill="1" applyBorder="1"/>
    <xf numFmtId="4" fontId="89" fillId="55" borderId="27" xfId="0" applyNumberFormat="1" applyFont="1" applyFill="1" applyBorder="1" applyAlignment="1">
      <alignment horizontal="center"/>
    </xf>
    <xf numFmtId="178" fontId="0" fillId="0" borderId="2" xfId="0" applyNumberFormat="1" applyBorder="1"/>
    <xf numFmtId="178" fontId="9" fillId="0" borderId="1" xfId="0" applyNumberFormat="1" applyFont="1" applyBorder="1"/>
    <xf numFmtId="2" fontId="8" fillId="42" borderId="95" xfId="0" applyNumberFormat="1" applyFont="1" applyFill="1" applyBorder="1" applyProtection="1">
      <protection locked="0"/>
    </xf>
    <xf numFmtId="10" fontId="2" fillId="0" borderId="6" xfId="0" applyNumberFormat="1" applyFont="1" applyBorder="1"/>
    <xf numFmtId="169" fontId="79" fillId="42" borderId="1" xfId="3" applyNumberFormat="1" applyFont="1" applyFill="1" applyBorder="1"/>
    <xf numFmtId="0" fontId="4" fillId="0" borderId="0" xfId="0" applyFont="1" applyAlignment="1"/>
    <xf numFmtId="0" fontId="0" fillId="0" borderId="0" xfId="0" applyAlignment="1">
      <alignment horizontal="left"/>
    </xf>
    <xf numFmtId="0" fontId="8" fillId="30" borderId="44" xfId="0" applyFont="1" applyFill="1" applyBorder="1" applyAlignment="1">
      <alignment horizontal="center" vertical="center" wrapText="1"/>
    </xf>
    <xf numFmtId="0" fontId="8" fillId="31" borderId="45" xfId="0" applyFont="1" applyFill="1" applyBorder="1" applyAlignment="1">
      <alignment horizontal="center" vertical="center" wrapText="1"/>
    </xf>
    <xf numFmtId="0" fontId="8" fillId="54" borderId="45" xfId="0" applyFont="1" applyFill="1" applyBorder="1" applyAlignment="1">
      <alignment horizontal="center" vertical="center" wrapText="1"/>
    </xf>
    <xf numFmtId="0" fontId="10" fillId="31" borderId="180" xfId="0" applyFont="1" applyFill="1" applyBorder="1" applyAlignment="1">
      <alignment vertical="center"/>
    </xf>
    <xf numFmtId="0" fontId="74" fillId="0" borderId="219" xfId="0" applyFont="1" applyFill="1" applyBorder="1" applyAlignment="1">
      <alignment horizontal="center" vertical="center"/>
    </xf>
    <xf numFmtId="0" fontId="90" fillId="42" borderId="219" xfId="0" applyFont="1" applyFill="1" applyBorder="1" applyAlignment="1">
      <alignment horizontal="left" vertical="center"/>
    </xf>
    <xf numFmtId="0" fontId="0" fillId="42" borderId="219" xfId="0" applyFont="1" applyFill="1" applyBorder="1" applyAlignment="1">
      <alignment horizontal="center" vertical="center"/>
    </xf>
    <xf numFmtId="0" fontId="10" fillId="42" borderId="219" xfId="0" applyFont="1" applyFill="1" applyBorder="1" applyAlignment="1">
      <alignment vertical="center"/>
    </xf>
    <xf numFmtId="0" fontId="91" fillId="42" borderId="219" xfId="0" applyFont="1" applyFill="1" applyBorder="1" applyAlignment="1">
      <alignment horizontal="center" vertical="center"/>
    </xf>
    <xf numFmtId="0" fontId="11" fillId="42" borderId="219" xfId="0" applyFont="1" applyFill="1" applyBorder="1" applyAlignment="1">
      <alignment horizontal="center" vertical="center"/>
    </xf>
    <xf numFmtId="0" fontId="92" fillId="0" borderId="2" xfId="0" applyFont="1" applyFill="1" applyBorder="1" applyAlignment="1">
      <alignment horizontal="left" vertical="center" wrapText="1"/>
    </xf>
    <xf numFmtId="0" fontId="11" fillId="42" borderId="219" xfId="0" applyFont="1" applyFill="1" applyBorder="1" applyAlignment="1">
      <alignment vertical="center"/>
    </xf>
    <xf numFmtId="0" fontId="90" fillId="0" borderId="219" xfId="0" applyFont="1" applyFill="1" applyBorder="1" applyAlignment="1">
      <alignment horizontal="left" vertical="center"/>
    </xf>
    <xf numFmtId="0" fontId="0" fillId="0" borderId="219" xfId="0" applyFont="1" applyFill="1" applyBorder="1" applyAlignment="1">
      <alignment horizontal="center" vertical="center"/>
    </xf>
    <xf numFmtId="0" fontId="10" fillId="0" borderId="219" xfId="0" applyFont="1" applyFill="1" applyBorder="1" applyAlignment="1">
      <alignment vertical="center"/>
    </xf>
    <xf numFmtId="0" fontId="9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vertical="center"/>
    </xf>
    <xf numFmtId="0" fontId="68" fillId="31" borderId="180" xfId="0" applyFont="1" applyFill="1" applyBorder="1" applyAlignment="1">
      <alignment vertical="center"/>
    </xf>
    <xf numFmtId="0" fontId="5" fillId="0" borderId="219" xfId="0" applyFont="1" applyFill="1" applyBorder="1" applyAlignment="1">
      <alignment horizontal="center" vertical="center"/>
    </xf>
    <xf numFmtId="10" fontId="74" fillId="0" borderId="219" xfId="1" applyNumberFormat="1" applyFont="1" applyFill="1" applyBorder="1" applyAlignment="1">
      <alignment horizontal="center" vertical="center"/>
    </xf>
    <xf numFmtId="10" fontId="90" fillId="0" borderId="219" xfId="1" applyNumberFormat="1" applyFont="1" applyFill="1" applyBorder="1" applyAlignment="1">
      <alignment horizontal="left" vertical="center"/>
    </xf>
    <xf numFmtId="10" fontId="0" fillId="0" borderId="219" xfId="1" applyNumberFormat="1" applyFont="1" applyFill="1" applyBorder="1" applyAlignment="1">
      <alignment horizontal="center" vertical="center"/>
    </xf>
    <xf numFmtId="10" fontId="10" fillId="0" borderId="219" xfId="1" applyNumberFormat="1" applyFont="1" applyFill="1" applyBorder="1" applyAlignment="1">
      <alignment vertical="center"/>
    </xf>
    <xf numFmtId="10" fontId="9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vertical="center"/>
    </xf>
    <xf numFmtId="0" fontId="93" fillId="0" borderId="219" xfId="0" applyFont="1" applyFill="1" applyBorder="1" applyAlignment="1">
      <alignment horizontal="center" vertical="center"/>
    </xf>
    <xf numFmtId="0" fontId="94" fillId="0" borderId="219" xfId="0" applyFont="1" applyFill="1" applyBorder="1" applyAlignment="1">
      <alignment horizontal="left" vertical="center" wrapText="1"/>
    </xf>
    <xf numFmtId="0" fontId="94" fillId="0" borderId="219" xfId="0" applyFont="1" applyFill="1" applyBorder="1" applyAlignment="1">
      <alignment horizontal="center" vertical="center" wrapText="1"/>
    </xf>
    <xf numFmtId="0" fontId="95" fillId="0" borderId="219" xfId="0" applyFont="1" applyFill="1" applyBorder="1" applyAlignment="1">
      <alignment horizontal="center" vertical="center" wrapText="1"/>
    </xf>
    <xf numFmtId="0" fontId="95" fillId="0" borderId="102" xfId="0" applyFont="1" applyFill="1" applyBorder="1" applyAlignment="1">
      <alignment horizontal="center" vertical="center" wrapText="1"/>
    </xf>
    <xf numFmtId="9" fontId="95" fillId="0" borderId="10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9" fontId="95" fillId="0" borderId="219" xfId="1" applyFont="1" applyFill="1" applyBorder="1" applyAlignment="1">
      <alignment horizontal="center" vertical="center" wrapText="1"/>
    </xf>
    <xf numFmtId="10" fontId="38" fillId="0" borderId="219" xfId="0" applyNumberFormat="1" applyFont="1" applyFill="1" applyBorder="1" applyAlignment="1">
      <alignment horizontal="center" vertical="center" wrapText="1"/>
    </xf>
    <xf numFmtId="0" fontId="38" fillId="0" borderId="219" xfId="0" applyFont="1" applyFill="1" applyBorder="1" applyAlignment="1">
      <alignment horizontal="center" vertical="center" wrapText="1"/>
    </xf>
    <xf numFmtId="0" fontId="10" fillId="31" borderId="62" xfId="0" applyFont="1" applyFill="1" applyBorder="1" applyAlignment="1">
      <alignment vertical="center"/>
    </xf>
    <xf numFmtId="0" fontId="74" fillId="0" borderId="6" xfId="0" applyFont="1" applyFill="1" applyBorder="1" applyAlignment="1">
      <alignment horizontal="center" vertical="center"/>
    </xf>
    <xf numFmtId="0" fontId="9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91" fillId="0" borderId="6" xfId="0" applyFont="1" applyFill="1" applyBorder="1" applyAlignment="1">
      <alignment horizontal="center" vertical="center"/>
    </xf>
    <xf numFmtId="0" fontId="9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68" fillId="31" borderId="242" xfId="0" applyFont="1" applyFill="1" applyBorder="1" applyAlignment="1">
      <alignment vertical="center"/>
    </xf>
    <xf numFmtId="0" fontId="10" fillId="31" borderId="68" xfId="0" applyFont="1" applyFill="1" applyBorder="1" applyAlignment="1">
      <alignment vertical="center"/>
    </xf>
    <xf numFmtId="0" fontId="74" fillId="0" borderId="2" xfId="0" applyFont="1" applyFill="1" applyBorder="1" applyAlignment="1">
      <alignment horizontal="center" vertical="center"/>
    </xf>
    <xf numFmtId="0" fontId="9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91" fillId="0" borderId="2" xfId="0" applyFont="1" applyFill="1" applyBorder="1" applyAlignment="1">
      <alignment horizontal="center" vertical="center"/>
    </xf>
    <xf numFmtId="0" fontId="9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wrapText="1"/>
    </xf>
    <xf numFmtId="0" fontId="10" fillId="31" borderId="78" xfId="0" applyFont="1" applyFill="1" applyBorder="1" applyAlignment="1">
      <alignment vertical="center"/>
    </xf>
    <xf numFmtId="10" fontId="93" fillId="0" borderId="219" xfId="1" applyNumberFormat="1" applyFont="1" applyFill="1" applyBorder="1" applyAlignment="1">
      <alignment horizontal="center" vertical="center"/>
    </xf>
    <xf numFmtId="0" fontId="10" fillId="31" borderId="51" xfId="0" applyFont="1" applyFill="1" applyBorder="1" applyAlignment="1">
      <alignment vertical="center"/>
    </xf>
    <xf numFmtId="0" fontId="74" fillId="0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left" vertical="center" wrapText="1"/>
    </xf>
    <xf numFmtId="0" fontId="0" fillId="42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center" vertical="center" wrapText="1"/>
    </xf>
    <xf numFmtId="0" fontId="95" fillId="0" borderId="219" xfId="0" applyFont="1" applyBorder="1" applyAlignment="1">
      <alignment horizontal="center" vertical="center" wrapText="1"/>
    </xf>
    <xf numFmtId="0" fontId="91" fillId="42" borderId="52" xfId="0" applyFont="1" applyFill="1" applyBorder="1" applyAlignment="1">
      <alignment horizontal="center" vertical="center"/>
    </xf>
    <xf numFmtId="0" fontId="93" fillId="42" borderId="52" xfId="0" applyFont="1" applyFill="1" applyBorder="1" applyAlignment="1">
      <alignment horizontal="center" vertical="center"/>
    </xf>
    <xf numFmtId="0" fontId="11" fillId="42" borderId="52" xfId="0" applyFont="1" applyFill="1" applyBorder="1" applyAlignment="1">
      <alignment vertical="center"/>
    </xf>
    <xf numFmtId="0" fontId="10" fillId="31" borderId="112" xfId="0" applyFont="1" applyFill="1" applyBorder="1" applyAlignment="1">
      <alignment horizontal="center" vertical="center"/>
    </xf>
    <xf numFmtId="0" fontId="68" fillId="31" borderId="191" xfId="0" applyFont="1" applyFill="1" applyBorder="1" applyAlignment="1">
      <alignment horizontal="center" vertical="center"/>
    </xf>
    <xf numFmtId="0" fontId="90" fillId="0" borderId="219" xfId="0" applyFont="1" applyFill="1" applyBorder="1" applyAlignment="1">
      <alignment horizontal="left" vertical="center" wrapText="1"/>
    </xf>
    <xf numFmtId="10" fontId="5" fillId="0" borderId="30" xfId="0" applyNumberFormat="1" applyFont="1" applyBorder="1" applyAlignment="1" applyProtection="1">
      <alignment horizontal="center"/>
    </xf>
    <xf numFmtId="10" fontId="5" fillId="0" borderId="86" xfId="0" applyNumberFormat="1" applyFont="1" applyBorder="1" applyAlignment="1" applyProtection="1">
      <alignment horizontal="center" vertical="center"/>
    </xf>
    <xf numFmtId="10" fontId="0" fillId="0" borderId="138" xfId="0" applyNumberFormat="1" applyBorder="1" applyAlignment="1" applyProtection="1">
      <alignment horizontal="center" vertical="center"/>
    </xf>
    <xf numFmtId="0" fontId="0" fillId="0" borderId="143" xfId="0" applyBorder="1" applyAlignment="1" applyProtection="1">
      <alignment horizontal="center" vertical="center"/>
    </xf>
    <xf numFmtId="1" fontId="8" fillId="0" borderId="238" xfId="1" applyNumberFormat="1" applyFont="1" applyBorder="1" applyProtection="1">
      <protection locked="0"/>
    </xf>
    <xf numFmtId="1" fontId="8" fillId="0" borderId="239" xfId="1" applyNumberFormat="1" applyFont="1" applyBorder="1" applyProtection="1">
      <protection locked="0"/>
    </xf>
    <xf numFmtId="1" fontId="8" fillId="0" borderId="237" xfId="1" applyNumberFormat="1" applyFont="1" applyBorder="1" applyProtection="1">
      <protection locked="0"/>
    </xf>
    <xf numFmtId="1" fontId="8" fillId="0" borderId="230" xfId="1" applyNumberFormat="1" applyFont="1" applyBorder="1" applyProtection="1">
      <protection locked="0"/>
    </xf>
    <xf numFmtId="10" fontId="8" fillId="0" borderId="238" xfId="1" applyNumberFormat="1" applyFont="1" applyBorder="1" applyProtection="1">
      <protection locked="0"/>
    </xf>
    <xf numFmtId="10" fontId="8" fillId="0" borderId="239" xfId="1" applyNumberFormat="1" applyFont="1" applyBorder="1" applyProtection="1">
      <protection locked="0"/>
    </xf>
    <xf numFmtId="10" fontId="8" fillId="0" borderId="237" xfId="1" applyNumberFormat="1" applyFont="1" applyBorder="1" applyProtection="1">
      <protection locked="0"/>
    </xf>
    <xf numFmtId="10" fontId="8" fillId="0" borderId="230" xfId="1" applyNumberFormat="1" applyFont="1" applyBorder="1" applyProtection="1">
      <protection locked="0"/>
    </xf>
    <xf numFmtId="2" fontId="8" fillId="0" borderId="238" xfId="1" applyNumberFormat="1" applyFont="1" applyBorder="1" applyProtection="1">
      <protection locked="0"/>
    </xf>
    <xf numFmtId="2" fontId="8" fillId="0" borderId="239" xfId="1" applyNumberFormat="1" applyFont="1" applyBorder="1" applyProtection="1">
      <protection locked="0"/>
    </xf>
    <xf numFmtId="2" fontId="8" fillId="0" borderId="237" xfId="1" applyNumberFormat="1" applyFont="1" applyBorder="1" applyProtection="1">
      <protection locked="0"/>
    </xf>
    <xf numFmtId="2" fontId="8" fillId="0" borderId="230" xfId="1" applyNumberFormat="1" applyFont="1" applyBorder="1" applyProtection="1">
      <protection locked="0"/>
    </xf>
    <xf numFmtId="4" fontId="65" fillId="42" borderId="238" xfId="0" applyNumberFormat="1" applyFont="1" applyFill="1" applyBorder="1" applyProtection="1">
      <protection locked="0"/>
    </xf>
    <xf numFmtId="2" fontId="8" fillId="0" borderId="230" xfId="0" applyNumberFormat="1" applyFont="1" applyBorder="1" applyProtection="1">
      <protection locked="0"/>
    </xf>
    <xf numFmtId="4" fontId="65" fillId="42" borderId="127" xfId="0" applyNumberFormat="1" applyFont="1" applyFill="1" applyBorder="1" applyProtection="1">
      <protection locked="0"/>
    </xf>
    <xf numFmtId="0" fontId="8" fillId="0" borderId="243" xfId="0" applyNumberFormat="1" applyFont="1" applyFill="1" applyBorder="1"/>
    <xf numFmtId="10" fontId="65" fillId="42" borderId="170" xfId="1" applyNumberFormat="1" applyFont="1" applyFill="1" applyBorder="1" applyAlignment="1" applyProtection="1">
      <alignment horizontal="center" vertical="center"/>
    </xf>
    <xf numFmtId="10" fontId="65" fillId="42" borderId="239" xfId="1" applyNumberFormat="1" applyFont="1" applyFill="1" applyBorder="1" applyAlignment="1" applyProtection="1">
      <alignment horizontal="center" vertical="center"/>
    </xf>
    <xf numFmtId="10" fontId="65" fillId="42" borderId="194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horizontal="center" vertical="center"/>
    </xf>
    <xf numFmtId="10" fontId="65" fillId="42" borderId="59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vertical="center"/>
    </xf>
    <xf numFmtId="0" fontId="8" fillId="0" borderId="243" xfId="0" applyNumberFormat="1" applyFont="1" applyFill="1" applyBorder="1" applyAlignment="1">
      <alignment horizontal="center"/>
    </xf>
    <xf numFmtId="2" fontId="65" fillId="42" borderId="244" xfId="1" applyNumberFormat="1" applyFont="1" applyFill="1" applyBorder="1" applyAlignment="1" applyProtection="1">
      <alignment horizontal="center" vertical="center"/>
    </xf>
    <xf numFmtId="0" fontId="8" fillId="0" borderId="245" xfId="0" applyNumberFormat="1" applyFont="1" applyFill="1" applyBorder="1" applyAlignment="1">
      <alignment horizontal="center"/>
    </xf>
    <xf numFmtId="0" fontId="65" fillId="42" borderId="230" xfId="0" applyFont="1" applyFill="1" applyBorder="1" applyAlignment="1" applyProtection="1">
      <alignment horizontal="center" vertical="center"/>
    </xf>
    <xf numFmtId="0" fontId="65" fillId="42" borderId="230" xfId="0" applyFont="1" applyFill="1" applyBorder="1" applyAlignment="1" applyProtection="1">
      <alignment vertical="center"/>
    </xf>
    <xf numFmtId="10" fontId="65" fillId="42" borderId="239" xfId="1" applyNumberFormat="1" applyFont="1" applyFill="1" applyBorder="1" applyAlignment="1" applyProtection="1">
      <alignment horizontal="right" vertical="center"/>
    </xf>
    <xf numFmtId="10" fontId="65" fillId="50" borderId="230" xfId="1" applyNumberFormat="1" applyFont="1" applyFill="1" applyBorder="1" applyAlignment="1" applyProtection="1">
      <alignment horizontal="right" vertical="center"/>
    </xf>
    <xf numFmtId="0" fontId="65" fillId="42" borderId="238" xfId="1" applyNumberFormat="1" applyFont="1" applyFill="1" applyBorder="1" applyAlignment="1" applyProtection="1">
      <alignment vertical="center"/>
    </xf>
    <xf numFmtId="0" fontId="65" fillId="42" borderId="146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horizontal="center" vertical="center"/>
    </xf>
    <xf numFmtId="3" fontId="8" fillId="41" borderId="29" xfId="0" applyNumberFormat="1" applyFont="1" applyFill="1" applyBorder="1" applyProtection="1"/>
    <xf numFmtId="10" fontId="49" fillId="41" borderId="90" xfId="1" applyNumberFormat="1" applyFont="1" applyFill="1" applyBorder="1"/>
    <xf numFmtId="10" fontId="49" fillId="41" borderId="153" xfId="1" applyNumberFormat="1" applyFont="1" applyFill="1" applyBorder="1"/>
    <xf numFmtId="1" fontId="8" fillId="0" borderId="129" xfId="0" applyNumberFormat="1" applyFont="1" applyBorder="1" applyProtection="1"/>
    <xf numFmtId="1" fontId="8" fillId="4" borderId="129" xfId="0" applyNumberFormat="1" applyFont="1" applyFill="1" applyBorder="1" applyProtection="1"/>
    <xf numFmtId="10" fontId="8" fillId="41" borderId="29" xfId="0" applyNumberFormat="1" applyFont="1" applyFill="1" applyBorder="1" applyProtection="1"/>
    <xf numFmtId="0" fontId="12" fillId="57" borderId="246" xfId="2" applyFill="1" applyBorder="1"/>
    <xf numFmtId="0" fontId="12" fillId="57" borderId="247" xfId="2" applyFill="1" applyBorder="1"/>
    <xf numFmtId="0" fontId="14" fillId="57" borderId="247" xfId="2" applyFont="1" applyFill="1" applyBorder="1" applyAlignment="1"/>
    <xf numFmtId="0" fontId="14" fillId="57" borderId="248" xfId="2" applyFont="1" applyFill="1" applyBorder="1" applyAlignment="1"/>
    <xf numFmtId="0" fontId="22" fillId="0" borderId="164" xfId="2" applyFont="1" applyBorder="1"/>
    <xf numFmtId="0" fontId="22" fillId="0" borderId="249" xfId="2" applyFont="1" applyBorder="1"/>
    <xf numFmtId="0" fontId="22" fillId="0" borderId="250" xfId="2" applyFont="1" applyBorder="1"/>
    <xf numFmtId="0" fontId="12" fillId="0" borderId="251" xfId="2" applyBorder="1"/>
    <xf numFmtId="0" fontId="12" fillId="0" borderId="252" xfId="2" applyBorder="1"/>
    <xf numFmtId="0" fontId="12" fillId="0" borderId="253" xfId="2" applyBorder="1"/>
    <xf numFmtId="0" fontId="12" fillId="0" borderId="254" xfId="2" applyBorder="1"/>
    <xf numFmtId="0" fontId="12" fillId="0" borderId="255" xfId="2" applyBorder="1"/>
    <xf numFmtId="0" fontId="12" fillId="0" borderId="256" xfId="2" applyBorder="1"/>
    <xf numFmtId="4" fontId="65" fillId="42" borderId="237" xfId="0" applyNumberFormat="1" applyFont="1" applyFill="1" applyBorder="1" applyProtection="1">
      <protection locked="0"/>
    </xf>
    <xf numFmtId="164" fontId="0" fillId="0" borderId="0" xfId="0" applyNumberFormat="1" applyBorder="1"/>
    <xf numFmtId="2" fontId="11" fillId="0" borderId="1" xfId="0" applyNumberFormat="1" applyFont="1" applyBorder="1"/>
    <xf numFmtId="10" fontId="8" fillId="42" borderId="54" xfId="0" applyNumberFormat="1" applyFont="1" applyFill="1" applyBorder="1" applyProtection="1"/>
    <xf numFmtId="10" fontId="8" fillId="42" borderId="121" xfId="0" applyNumberFormat="1" applyFont="1" applyFill="1" applyBorder="1" applyProtection="1"/>
    <xf numFmtId="1" fontId="12" fillId="0" borderId="164" xfId="2" applyNumberFormat="1" applyBorder="1"/>
    <xf numFmtId="1" fontId="22" fillId="0" borderId="168" xfId="2" applyNumberFormat="1" applyFont="1" applyBorder="1"/>
    <xf numFmtId="0" fontId="5" fillId="0" borderId="28" xfId="0" applyFont="1" applyBorder="1" applyAlignment="1" applyProtection="1">
      <alignment horizontal="center"/>
    </xf>
    <xf numFmtId="0" fontId="5" fillId="0" borderId="137" xfId="0" applyFont="1" applyBorder="1" applyAlignment="1" applyProtection="1">
      <alignment horizontal="center"/>
    </xf>
    <xf numFmtId="2" fontId="5" fillId="0" borderId="261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0" fontId="5" fillId="0" borderId="252" xfId="0" applyFont="1" applyFill="1" applyBorder="1" applyAlignment="1">
      <alignment horizontal="left" vertical="center"/>
    </xf>
    <xf numFmtId="10" fontId="0" fillId="0" borderId="0" xfId="1" applyNumberFormat="1" applyFont="1"/>
    <xf numFmtId="10" fontId="8" fillId="2" borderId="262" xfId="0" applyNumberFormat="1" applyFont="1" applyFill="1" applyBorder="1" applyProtection="1"/>
    <xf numFmtId="10" fontId="8" fillId="2" borderId="128" xfId="0" applyNumberFormat="1" applyFont="1" applyFill="1" applyBorder="1" applyProtection="1"/>
    <xf numFmtId="2" fontId="22" fillId="0" borderId="168" xfId="2" applyNumberFormat="1" applyFont="1" applyBorder="1"/>
    <xf numFmtId="10" fontId="0" fillId="0" borderId="128" xfId="0" applyNumberFormat="1" applyFont="1" applyBorder="1" applyAlignment="1" applyProtection="1">
      <alignment horizontal="center"/>
    </xf>
    <xf numFmtId="0" fontId="22" fillId="0" borderId="244" xfId="2" applyFont="1" applyBorder="1"/>
    <xf numFmtId="171" fontId="22" fillId="0" borderId="265" xfId="10" applyNumberFormat="1" applyFont="1" applyFill="1" applyBorder="1"/>
    <xf numFmtId="179" fontId="8" fillId="0" borderId="121" xfId="1" applyNumberFormat="1" applyFont="1" applyBorder="1" applyProtection="1">
      <protection locked="0"/>
    </xf>
    <xf numFmtId="179" fontId="10" fillId="0" borderId="1" xfId="1" applyNumberFormat="1" applyFont="1" applyBorder="1"/>
    <xf numFmtId="179" fontId="0" fillId="0" borderId="1" xfId="1" applyNumberFormat="1" applyFont="1" applyBorder="1"/>
    <xf numFmtId="179" fontId="0" fillId="0" borderId="6" xfId="1" applyNumberFormat="1" applyFont="1" applyBorder="1"/>
    <xf numFmtId="179" fontId="8" fillId="0" borderId="85" xfId="0" applyNumberFormat="1" applyFont="1" applyBorder="1" applyProtection="1"/>
    <xf numFmtId="180" fontId="11" fillId="0" borderId="1" xfId="0" applyNumberFormat="1" applyFont="1" applyBorder="1"/>
    <xf numFmtId="0" fontId="8" fillId="0" borderId="0" xfId="0" applyFont="1" applyAlignment="1">
      <alignment horizontal="center" wrapText="1"/>
    </xf>
    <xf numFmtId="0" fontId="0" fillId="0" borderId="247" xfId="0" applyBorder="1"/>
    <xf numFmtId="164" fontId="0" fillId="0" borderId="247" xfId="0" applyNumberFormat="1" applyBorder="1"/>
    <xf numFmtId="10" fontId="0" fillId="0" borderId="247" xfId="1" applyNumberFormat="1" applyFont="1" applyBorder="1"/>
    <xf numFmtId="0" fontId="3" fillId="42" borderId="0" xfId="0" applyFont="1" applyFill="1" applyBorder="1"/>
    <xf numFmtId="2" fontId="9" fillId="42" borderId="0" xfId="0" applyNumberFormat="1" applyFont="1" applyFill="1" applyBorder="1"/>
    <xf numFmtId="2" fontId="5" fillId="42" borderId="0" xfId="0" applyNumberFormat="1" applyFont="1" applyFill="1" applyBorder="1"/>
    <xf numFmtId="10" fontId="44" fillId="42" borderId="0" xfId="1" applyNumberFormat="1" applyFont="1" applyFill="1" applyBorder="1"/>
    <xf numFmtId="10" fontId="68" fillId="42" borderId="0" xfId="1" applyNumberFormat="1" applyFont="1" applyFill="1" applyBorder="1"/>
    <xf numFmtId="10" fontId="0" fillId="42" borderId="0" xfId="1" applyNumberFormat="1" applyFont="1" applyFill="1" applyBorder="1"/>
    <xf numFmtId="10" fontId="2" fillId="42" borderId="0" xfId="1" applyNumberFormat="1" applyFont="1" applyFill="1" applyBorder="1"/>
    <xf numFmtId="10" fontId="5" fillId="42" borderId="0" xfId="1" applyNumberFormat="1" applyFont="1" applyFill="1" applyBorder="1"/>
    <xf numFmtId="0" fontId="3" fillId="60" borderId="0" xfId="0" applyFont="1" applyFill="1" applyBorder="1"/>
    <xf numFmtId="2" fontId="9" fillId="60" borderId="0" xfId="0" applyNumberFormat="1" applyFont="1" applyFill="1" applyBorder="1"/>
    <xf numFmtId="2" fontId="5" fillId="60" borderId="0" xfId="0" applyNumberFormat="1" applyFont="1" applyFill="1" applyBorder="1"/>
    <xf numFmtId="10" fontId="44" fillId="60" borderId="0" xfId="1" applyNumberFormat="1" applyFont="1" applyFill="1" applyBorder="1"/>
    <xf numFmtId="10" fontId="68" fillId="60" borderId="0" xfId="1" applyNumberFormat="1" applyFont="1" applyFill="1" applyBorder="1"/>
    <xf numFmtId="10" fontId="10" fillId="60" borderId="0" xfId="1" applyNumberFormat="1" applyFont="1" applyFill="1" applyBorder="1"/>
    <xf numFmtId="10" fontId="0" fillId="60" borderId="0" xfId="1" applyNumberFormat="1" applyFont="1" applyFill="1" applyBorder="1"/>
    <xf numFmtId="10" fontId="2" fillId="60" borderId="0" xfId="1" applyNumberFormat="1" applyFont="1" applyFill="1" applyBorder="1"/>
    <xf numFmtId="10" fontId="5" fillId="60" borderId="0" xfId="1" applyNumberFormat="1" applyFont="1" applyFill="1" applyBorder="1"/>
    <xf numFmtId="4" fontId="8" fillId="42" borderId="27" xfId="0" applyNumberFormat="1" applyFont="1" applyFill="1" applyBorder="1" applyProtection="1">
      <protection locked="0"/>
    </xf>
    <xf numFmtId="0" fontId="0" fillId="42" borderId="55" xfId="0" applyFill="1" applyBorder="1" applyAlignment="1" applyProtection="1">
      <alignment horizontal="center"/>
    </xf>
    <xf numFmtId="0" fontId="0" fillId="42" borderId="128" xfId="0" applyFill="1" applyBorder="1" applyAlignment="1" applyProtection="1">
      <alignment horizontal="center"/>
    </xf>
    <xf numFmtId="0" fontId="0" fillId="42" borderId="143" xfId="0" applyFill="1" applyBorder="1" applyAlignment="1" applyProtection="1">
      <alignment horizontal="center"/>
    </xf>
    <xf numFmtId="4" fontId="8" fillId="42" borderId="95" xfId="0" applyNumberFormat="1" applyFont="1" applyFill="1" applyBorder="1" applyAlignment="1" applyProtection="1">
      <alignment horizontal="center"/>
      <protection locked="0"/>
    </xf>
    <xf numFmtId="10" fontId="0" fillId="42" borderId="55" xfId="0" applyNumberFormat="1" applyFill="1" applyBorder="1" applyProtection="1"/>
    <xf numFmtId="10" fontId="0" fillId="42" borderId="128" xfId="0" applyNumberFormat="1" applyFill="1" applyBorder="1" applyProtection="1"/>
    <xf numFmtId="10" fontId="0" fillId="42" borderId="143" xfId="0" applyNumberFormat="1" applyFill="1" applyBorder="1" applyProtection="1"/>
    <xf numFmtId="0" fontId="0" fillId="42" borderId="30" xfId="0" applyFill="1" applyBorder="1" applyAlignment="1" applyProtection="1">
      <alignment horizontal="center"/>
    </xf>
    <xf numFmtId="0" fontId="0" fillId="42" borderId="104" xfId="0" applyFill="1" applyBorder="1" applyAlignment="1" applyProtection="1">
      <alignment horizontal="center"/>
    </xf>
    <xf numFmtId="10" fontId="0" fillId="42" borderId="30" xfId="0" applyNumberFormat="1" applyFill="1" applyBorder="1" applyProtection="1"/>
    <xf numFmtId="10" fontId="0" fillId="42" borderId="104" xfId="0" applyNumberFormat="1" applyFill="1" applyBorder="1" applyProtection="1"/>
    <xf numFmtId="0" fontId="8" fillId="0" borderId="0" xfId="0" applyFont="1" applyAlignment="1">
      <alignment horizontal="center" wrapText="1"/>
    </xf>
    <xf numFmtId="9" fontId="9" fillId="49" borderId="2" xfId="1" applyNumberFormat="1" applyFont="1" applyFill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2" fontId="2" fillId="49" borderId="1" xfId="1" applyNumberFormat="1" applyFont="1" applyFill="1" applyBorder="1" applyAlignment="1">
      <alignment horizontal="center" vertical="center"/>
    </xf>
    <xf numFmtId="181" fontId="9" fillId="49" borderId="2" xfId="1" applyNumberFormat="1" applyFont="1" applyFill="1" applyBorder="1" applyAlignment="1">
      <alignment horizontal="center" vertical="center"/>
    </xf>
    <xf numFmtId="181" fontId="8" fillId="0" borderId="1" xfId="1" applyNumberFormat="1" applyFont="1" applyBorder="1" applyAlignment="1">
      <alignment horizontal="center" vertical="center"/>
    </xf>
    <xf numFmtId="181" fontId="0" fillId="49" borderId="1" xfId="1" applyNumberFormat="1" applyFont="1" applyFill="1" applyBorder="1" applyAlignment="1">
      <alignment horizontal="center" vertical="center"/>
    </xf>
    <xf numFmtId="1" fontId="2" fillId="0" borderId="6" xfId="0" applyNumberFormat="1" applyFont="1" applyBorder="1"/>
    <xf numFmtId="4" fontId="8" fillId="44" borderId="85" xfId="0" applyNumberFormat="1" applyFont="1" applyFill="1" applyBorder="1" applyAlignment="1" applyProtection="1">
      <alignment horizontal="center"/>
    </xf>
    <xf numFmtId="4" fontId="8" fillId="44" borderId="36" xfId="0" applyNumberFormat="1" applyFont="1" applyFill="1" applyBorder="1" applyAlignment="1" applyProtection="1">
      <alignment horizontal="center"/>
    </xf>
    <xf numFmtId="10" fontId="8" fillId="44" borderId="33" xfId="0" applyNumberFormat="1" applyFont="1" applyFill="1" applyBorder="1" applyAlignment="1" applyProtection="1">
      <alignment horizontal="center"/>
    </xf>
    <xf numFmtId="10" fontId="8" fillId="44" borderId="125" xfId="0" applyNumberFormat="1" applyFont="1" applyFill="1" applyBorder="1" applyAlignment="1" applyProtection="1">
      <alignment horizontal="center"/>
    </xf>
    <xf numFmtId="10" fontId="73" fillId="0" borderId="118" xfId="1" applyNumberFormat="1" applyFont="1" applyBorder="1" applyAlignment="1" applyProtection="1">
      <alignment horizontal="center"/>
    </xf>
    <xf numFmtId="10" fontId="73" fillId="0" borderId="85" xfId="1" applyNumberFormat="1" applyFont="1" applyBorder="1" applyAlignment="1" applyProtection="1">
      <alignment horizontal="center"/>
    </xf>
    <xf numFmtId="10" fontId="73" fillId="0" borderId="33" xfId="1" applyNumberFormat="1" applyFont="1" applyBorder="1" applyAlignment="1" applyProtection="1">
      <alignment horizontal="center"/>
    </xf>
    <xf numFmtId="10" fontId="73" fillId="0" borderId="125" xfId="1" applyNumberFormat="1" applyFont="1" applyBorder="1" applyAlignment="1" applyProtection="1">
      <alignment horizontal="center"/>
    </xf>
    <xf numFmtId="4" fontId="8" fillId="41" borderId="162" xfId="0" applyNumberFormat="1" applyFont="1" applyFill="1" applyBorder="1" applyAlignment="1" applyProtection="1">
      <alignment horizontal="center"/>
    </xf>
    <xf numFmtId="4" fontId="8" fillId="41" borderId="163" xfId="0" applyNumberFormat="1" applyFont="1" applyFill="1" applyBorder="1" applyAlignment="1" applyProtection="1">
      <alignment horizontal="center"/>
    </xf>
    <xf numFmtId="0" fontId="49" fillId="40" borderId="37" xfId="0" applyFont="1" applyFill="1" applyBorder="1" applyAlignment="1" applyProtection="1">
      <alignment horizontal="center" vertical="top"/>
      <protection locked="0"/>
    </xf>
    <xf numFmtId="0" fontId="49" fillId="40" borderId="38" xfId="0" applyFont="1" applyFill="1" applyBorder="1" applyAlignment="1" applyProtection="1">
      <alignment horizontal="center" vertical="top"/>
      <protection locked="0"/>
    </xf>
    <xf numFmtId="0" fontId="49" fillId="40" borderId="39" xfId="0" applyFont="1" applyFill="1" applyBorder="1" applyAlignment="1" applyProtection="1">
      <alignment horizontal="center" vertical="top"/>
      <protection locked="0"/>
    </xf>
    <xf numFmtId="0" fontId="49" fillId="40" borderId="40" xfId="0" applyFont="1" applyFill="1" applyBorder="1" applyAlignment="1" applyProtection="1">
      <alignment horizontal="center" vertical="top"/>
      <protection locked="0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4" fontId="53" fillId="0" borderId="118" xfId="2" applyNumberFormat="1" applyFont="1" applyFill="1" applyBorder="1" applyAlignment="1" applyProtection="1">
      <alignment horizontal="center"/>
    </xf>
    <xf numFmtId="4" fontId="53" fillId="0" borderId="36" xfId="2" applyNumberFormat="1" applyFont="1" applyFill="1" applyBorder="1" applyAlignment="1" applyProtection="1">
      <alignment horizontal="center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4" fontId="53" fillId="0" borderId="36" xfId="4" applyNumberFormat="1" applyFont="1" applyFill="1" applyBorder="1" applyAlignment="1" applyProtection="1">
      <alignment horizontal="center" vertic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 vertical="center"/>
    </xf>
    <xf numFmtId="4" fontId="53" fillId="0" borderId="27" xfId="2" applyNumberFormat="1" applyFont="1" applyFill="1" applyBorder="1" applyAlignment="1" applyProtection="1">
      <alignment horizontal="center" vertical="center"/>
    </xf>
    <xf numFmtId="10" fontId="53" fillId="0" borderId="27" xfId="2" applyNumberFormat="1" applyFont="1" applyFill="1" applyBorder="1" applyAlignment="1" applyProtection="1">
      <alignment horizontal="center"/>
    </xf>
    <xf numFmtId="10" fontId="53" fillId="0" borderId="130" xfId="2" applyNumberFormat="1" applyFont="1" applyFill="1" applyBorder="1" applyAlignment="1" applyProtection="1">
      <alignment horizontal="center"/>
    </xf>
    <xf numFmtId="0" fontId="8" fillId="7" borderId="118" xfId="0" applyFont="1" applyFill="1" applyBorder="1" applyAlignment="1" applyProtection="1">
      <alignment horizontal="center" vertical="center"/>
      <protection locked="0"/>
    </xf>
    <xf numFmtId="0" fontId="8" fillId="7" borderId="125" xfId="0" applyFont="1" applyFill="1" applyBorder="1" applyAlignment="1" applyProtection="1">
      <alignment horizontal="center" vertical="center"/>
      <protection locked="0"/>
    </xf>
    <xf numFmtId="0" fontId="49" fillId="7" borderId="118" xfId="0" applyFont="1" applyFill="1" applyBorder="1" applyAlignment="1" applyProtection="1">
      <alignment horizontal="center" vertical="center"/>
      <protection locked="0"/>
    </xf>
    <xf numFmtId="0" fontId="49" fillId="7" borderId="125" xfId="0" applyFont="1" applyFill="1" applyBorder="1" applyAlignment="1" applyProtection="1">
      <alignment horizontal="center" vertical="center"/>
      <protection locked="0"/>
    </xf>
    <xf numFmtId="0" fontId="49" fillId="40" borderId="118" xfId="0" applyFont="1" applyFill="1" applyBorder="1" applyAlignment="1" applyProtection="1">
      <alignment horizontal="center"/>
      <protection locked="0"/>
    </xf>
    <xf numFmtId="0" fontId="49" fillId="40" borderId="125" xfId="0" applyFont="1" applyFill="1" applyBorder="1" applyAlignment="1" applyProtection="1">
      <alignment horizontal="center"/>
      <protection locked="0"/>
    </xf>
    <xf numFmtId="0" fontId="10" fillId="7" borderId="33" xfId="0" applyFont="1" applyFill="1" applyBorder="1" applyAlignment="1" applyProtection="1">
      <alignment horizontal="center"/>
      <protection locked="0"/>
    </xf>
    <xf numFmtId="0" fontId="10" fillId="7" borderId="36" xfId="0" applyFont="1" applyFill="1" applyBorder="1" applyAlignment="1" applyProtection="1">
      <alignment horizontal="center"/>
      <protection locked="0"/>
    </xf>
    <xf numFmtId="0" fontId="49" fillId="40" borderId="85" xfId="0" applyFont="1" applyFill="1" applyBorder="1" applyAlignment="1" applyProtection="1">
      <alignment horizontal="center"/>
      <protection locked="0"/>
    </xf>
    <xf numFmtId="0" fontId="49" fillId="40" borderId="36" xfId="0" applyFont="1" applyFill="1" applyBorder="1" applyAlignment="1" applyProtection="1">
      <alignment horizontal="center"/>
      <protection locked="0"/>
    </xf>
    <xf numFmtId="0" fontId="10" fillId="6" borderId="32" xfId="0" applyFont="1" applyFill="1" applyBorder="1" applyAlignment="1" applyProtection="1">
      <alignment horizontal="center" vertical="center"/>
      <protection locked="0"/>
    </xf>
    <xf numFmtId="0" fontId="10" fillId="6" borderId="35" xfId="0" applyFont="1" applyFill="1" applyBorder="1" applyAlignment="1" applyProtection="1">
      <alignment horizontal="center" vertical="center"/>
      <protection locked="0"/>
    </xf>
    <xf numFmtId="0" fontId="49" fillId="40" borderId="33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0" fontId="0" fillId="0" borderId="35" xfId="0" applyBorder="1"/>
    <xf numFmtId="0" fontId="39" fillId="43" borderId="118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4" fontId="53" fillId="0" borderId="136" xfId="2" applyNumberFormat="1" applyFont="1" applyFill="1" applyBorder="1" applyAlignment="1" applyProtection="1">
      <alignment horizontal="center" vertical="center"/>
    </xf>
    <xf numFmtId="4" fontId="53" fillId="0" borderId="145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/>
    </xf>
    <xf numFmtId="4" fontId="53" fillId="0" borderId="144" xfId="2" applyNumberFormat="1" applyFont="1" applyFill="1" applyBorder="1" applyAlignment="1" applyProtection="1">
      <alignment horizontal="center"/>
    </xf>
    <xf numFmtId="0" fontId="39" fillId="31" borderId="118" xfId="2" applyFont="1" applyFill="1" applyBorder="1" applyAlignment="1" applyProtection="1">
      <alignment horizontal="center" vertical="center"/>
    </xf>
    <xf numFmtId="0" fontId="39" fillId="31" borderId="85" xfId="2" applyFont="1" applyFill="1" applyBorder="1" applyAlignment="1" applyProtection="1">
      <alignment horizontal="center" vertical="center"/>
    </xf>
    <xf numFmtId="0" fontId="39" fillId="31" borderId="125" xfId="2" applyFont="1" applyFill="1" applyBorder="1" applyAlignment="1" applyProtection="1">
      <alignment horizontal="center" vertical="center"/>
    </xf>
    <xf numFmtId="10" fontId="58" fillId="0" borderId="118" xfId="2" applyNumberFormat="1" applyFont="1" applyFill="1" applyBorder="1" applyAlignment="1" applyProtection="1">
      <alignment horizontal="center" vertical="center"/>
    </xf>
    <xf numFmtId="10" fontId="58" fillId="0" borderId="85" xfId="2" applyNumberFormat="1" applyFont="1" applyFill="1" applyBorder="1" applyAlignment="1" applyProtection="1">
      <alignment horizontal="center" vertical="center"/>
    </xf>
    <xf numFmtId="10" fontId="58" fillId="0" borderId="125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 vertical="center"/>
    </xf>
    <xf numFmtId="4" fontId="53" fillId="0" borderId="144" xfId="2" applyNumberFormat="1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0" fontId="49" fillId="34" borderId="118" xfId="0" applyFont="1" applyFill="1" applyBorder="1" applyAlignment="1" applyProtection="1">
      <alignment horizontal="center" vertical="center"/>
      <protection locked="0"/>
    </xf>
    <xf numFmtId="0" fontId="49" fillId="34" borderId="85" xfId="0" applyFont="1" applyFill="1" applyBorder="1" applyAlignment="1" applyProtection="1">
      <alignment horizontal="center" vertical="center"/>
      <protection locked="0"/>
    </xf>
    <xf numFmtId="0" fontId="49" fillId="34" borderId="125" xfId="0" applyFont="1" applyFill="1" applyBorder="1" applyAlignment="1" applyProtection="1">
      <alignment horizontal="center" vertical="center"/>
      <protection locked="0"/>
    </xf>
    <xf numFmtId="0" fontId="8" fillId="34" borderId="33" xfId="0" applyFont="1" applyFill="1" applyBorder="1" applyAlignment="1" applyProtection="1">
      <alignment horizontal="center"/>
      <protection locked="0"/>
    </xf>
    <xf numFmtId="0" fontId="8" fillId="34" borderId="36" xfId="0" applyFont="1" applyFill="1" applyBorder="1" applyAlignment="1" applyProtection="1">
      <alignment horizontal="center"/>
      <protection locked="0"/>
    </xf>
    <xf numFmtId="4" fontId="53" fillId="0" borderId="119" xfId="2" applyNumberFormat="1" applyFont="1" applyFill="1" applyBorder="1" applyAlignment="1" applyProtection="1">
      <alignment horizontal="center"/>
    </xf>
    <xf numFmtId="4" fontId="53" fillId="0" borderId="111" xfId="2" applyNumberFormat="1" applyFont="1" applyFill="1" applyBorder="1" applyAlignment="1" applyProtection="1">
      <alignment horizontal="center"/>
    </xf>
    <xf numFmtId="4" fontId="53" fillId="0" borderId="104" xfId="2" applyNumberFormat="1" applyFont="1" applyFill="1" applyBorder="1" applyAlignment="1" applyProtection="1">
      <alignment horizontal="center" vertical="center"/>
    </xf>
    <xf numFmtId="4" fontId="53" fillId="0" borderId="105" xfId="2" applyNumberFormat="1" applyFont="1" applyFill="1" applyBorder="1" applyAlignment="1" applyProtection="1">
      <alignment horizontal="center" vertical="center"/>
    </xf>
    <xf numFmtId="0" fontId="52" fillId="38" borderId="33" xfId="2" applyFont="1" applyFill="1" applyBorder="1" applyAlignment="1" applyProtection="1">
      <alignment horizontal="center" vertical="center"/>
      <protection locked="0"/>
    </xf>
    <xf numFmtId="0" fontId="52" fillId="38" borderId="85" xfId="2" applyFont="1" applyFill="1" applyBorder="1" applyAlignment="1" applyProtection="1">
      <alignment horizontal="center" vertical="center"/>
      <protection locked="0"/>
    </xf>
    <xf numFmtId="0" fontId="52" fillId="38" borderId="36" xfId="2" applyFont="1" applyFill="1" applyBorder="1" applyAlignment="1" applyProtection="1">
      <alignment horizontal="center" vertical="center"/>
      <protection locked="0"/>
    </xf>
    <xf numFmtId="0" fontId="22" fillId="59" borderId="27" xfId="2" applyFont="1" applyFill="1" applyBorder="1" applyAlignment="1" applyProtection="1">
      <alignment horizontal="center" vertical="center"/>
      <protection locked="0"/>
    </xf>
    <xf numFmtId="0" fontId="22" fillId="34" borderId="27" xfId="2" applyFont="1" applyFill="1" applyBorder="1" applyAlignment="1" applyProtection="1">
      <alignment horizontal="center" vertical="center"/>
      <protection locked="0"/>
    </xf>
    <xf numFmtId="0" fontId="10" fillId="41" borderId="33" xfId="0" applyFont="1" applyFill="1" applyBorder="1" applyAlignment="1" applyProtection="1">
      <alignment horizontal="center"/>
      <protection locked="0"/>
    </xf>
    <xf numFmtId="0" fontId="10" fillId="41" borderId="36" xfId="0" applyFont="1" applyFill="1" applyBorder="1" applyAlignment="1" applyProtection="1">
      <alignment horizontal="center"/>
      <protection locked="0"/>
    </xf>
    <xf numFmtId="0" fontId="49" fillId="7" borderId="33" xfId="0" applyFont="1" applyFill="1" applyBorder="1" applyAlignment="1" applyProtection="1">
      <alignment horizontal="center" vertical="center"/>
      <protection locked="0"/>
    </xf>
    <xf numFmtId="0" fontId="8" fillId="6" borderId="32" xfId="0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 applyProtection="1">
      <alignment horizontal="center" vertical="center"/>
      <protection locked="0"/>
    </xf>
    <xf numFmtId="0" fontId="10" fillId="6" borderId="37" xfId="0" applyFont="1" applyFill="1" applyBorder="1" applyAlignment="1" applyProtection="1">
      <alignment horizontal="center" vertical="center"/>
      <protection locked="0"/>
    </xf>
    <xf numFmtId="0" fontId="10" fillId="6" borderId="38" xfId="0" applyFont="1" applyFill="1" applyBorder="1" applyAlignment="1" applyProtection="1">
      <alignment horizontal="center" vertical="center"/>
      <protection locked="0"/>
    </xf>
    <xf numFmtId="0" fontId="10" fillId="6" borderId="41" xfId="0" applyFont="1" applyFill="1" applyBorder="1" applyAlignment="1" applyProtection="1">
      <alignment horizontal="center" vertical="center"/>
      <protection locked="0"/>
    </xf>
    <xf numFmtId="0" fontId="10" fillId="6" borderId="88" xfId="0" applyFont="1" applyFill="1" applyBorder="1" applyAlignment="1" applyProtection="1">
      <alignment horizontal="center" vertical="center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40" xfId="0" applyFont="1" applyFill="1" applyBorder="1" applyAlignment="1" applyProtection="1">
      <alignment horizontal="center" vertical="center"/>
      <protection locked="0"/>
    </xf>
    <xf numFmtId="10" fontId="54" fillId="0" borderId="33" xfId="2" applyNumberFormat="1" applyFont="1" applyFill="1" applyBorder="1" applyAlignment="1" applyProtection="1">
      <alignment horizontal="center" vertical="center"/>
    </xf>
    <xf numFmtId="10" fontId="54" fillId="0" borderId="85" xfId="2" applyNumberFormat="1" applyFont="1" applyFill="1" applyBorder="1" applyAlignment="1" applyProtection="1">
      <alignment horizontal="center" vertical="center"/>
    </xf>
    <xf numFmtId="4" fontId="0" fillId="2" borderId="37" xfId="0" applyNumberFormat="1" applyFill="1" applyBorder="1" applyAlignment="1" applyProtection="1">
      <alignment horizontal="center"/>
      <protection locked="0"/>
    </xf>
    <xf numFmtId="4" fontId="0" fillId="2" borderId="41" xfId="0" applyNumberFormat="1" applyFill="1" applyBorder="1" applyAlignment="1" applyProtection="1">
      <alignment horizontal="center"/>
      <protection locked="0"/>
    </xf>
    <xf numFmtId="4" fontId="0" fillId="2" borderId="39" xfId="0" applyNumberFormat="1" applyFill="1" applyBorder="1" applyAlignment="1" applyProtection="1">
      <alignment horizontal="center"/>
      <protection locked="0"/>
    </xf>
    <xf numFmtId="0" fontId="40" fillId="38" borderId="32" xfId="2" applyFont="1" applyFill="1" applyBorder="1" applyAlignment="1" applyProtection="1">
      <alignment horizontal="center" vertical="center"/>
      <protection locked="0"/>
    </xf>
    <xf numFmtId="0" fontId="40" fillId="38" borderId="35" xfId="2" applyFont="1" applyFill="1" applyBorder="1" applyAlignment="1" applyProtection="1">
      <alignment horizontal="center" vertical="center"/>
      <protection locked="0"/>
    </xf>
    <xf numFmtId="0" fontId="10" fillId="51" borderId="38" xfId="0" applyFont="1" applyFill="1" applyBorder="1" applyAlignment="1" applyProtection="1">
      <alignment horizontal="center" vertical="center"/>
      <protection locked="0"/>
    </xf>
    <xf numFmtId="0" fontId="10" fillId="51" borderId="40" xfId="0" applyFont="1" applyFill="1" applyBorder="1" applyAlignment="1" applyProtection="1">
      <alignment horizontal="center" vertical="center"/>
      <protection locked="0"/>
    </xf>
    <xf numFmtId="10" fontId="73" fillId="0" borderId="33" xfId="0" applyNumberFormat="1" applyFont="1" applyBorder="1" applyAlignment="1" applyProtection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4" fontId="8" fillId="44" borderId="33" xfId="0" applyNumberFormat="1" applyFont="1" applyFill="1" applyBorder="1" applyAlignment="1" applyProtection="1">
      <alignment horizontal="center"/>
    </xf>
    <xf numFmtId="0" fontId="58" fillId="38" borderId="32" xfId="2" applyFont="1" applyFill="1" applyBorder="1" applyAlignment="1" applyProtection="1">
      <alignment horizontal="center" vertical="center"/>
      <protection locked="0"/>
    </xf>
    <xf numFmtId="0" fontId="58" fillId="38" borderId="35" xfId="2" applyFont="1" applyFill="1" applyBorder="1" applyAlignment="1" applyProtection="1">
      <alignment horizontal="center" vertical="center"/>
      <protection locked="0"/>
    </xf>
    <xf numFmtId="10" fontId="53" fillId="0" borderId="33" xfId="2" applyNumberFormat="1" applyFont="1" applyFill="1" applyBorder="1" applyAlignment="1" applyProtection="1">
      <alignment horizontal="center"/>
    </xf>
    <xf numFmtId="10" fontId="53" fillId="0" borderId="85" xfId="2" applyNumberFormat="1" applyFont="1" applyFill="1" applyBorder="1" applyAlignment="1" applyProtection="1">
      <alignment horizontal="center"/>
    </xf>
    <xf numFmtId="10" fontId="58" fillId="0" borderId="33" xfId="2" applyNumberFormat="1" applyFont="1" applyFill="1" applyBorder="1" applyAlignment="1" applyProtection="1">
      <alignment horizontal="center"/>
    </xf>
    <xf numFmtId="10" fontId="58" fillId="0" borderId="85" xfId="2" applyNumberFormat="1" applyFont="1" applyFill="1" applyBorder="1" applyAlignment="1" applyProtection="1">
      <alignment horizontal="center"/>
    </xf>
    <xf numFmtId="0" fontId="82" fillId="43" borderId="33" xfId="2" applyFont="1" applyFill="1" applyBorder="1" applyAlignment="1" applyProtection="1">
      <alignment horizontal="center" vertical="center"/>
    </xf>
    <xf numFmtId="0" fontId="82" fillId="43" borderId="125" xfId="2" applyFont="1" applyFill="1" applyBorder="1" applyAlignment="1" applyProtection="1">
      <alignment horizontal="center" vertical="center"/>
    </xf>
    <xf numFmtId="0" fontId="39" fillId="31" borderId="33" xfId="2" applyFont="1" applyFill="1" applyBorder="1" applyAlignment="1" applyProtection="1">
      <alignment horizontal="center" vertical="center"/>
    </xf>
    <xf numFmtId="0" fontId="82" fillId="43" borderId="36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  <protection locked="0"/>
    </xf>
    <xf numFmtId="10" fontId="54" fillId="0" borderId="33" xfId="2" applyNumberFormat="1" applyFont="1" applyFill="1" applyBorder="1" applyAlignment="1" applyProtection="1">
      <alignment horizontal="center"/>
    </xf>
    <xf numFmtId="0" fontId="10" fillId="7" borderId="33" xfId="0" applyFont="1" applyFill="1" applyBorder="1" applyAlignment="1" applyProtection="1">
      <alignment horizontal="center" vertical="center"/>
      <protection locked="0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8" fillId="38" borderId="33" xfId="0" applyFont="1" applyFill="1" applyBorder="1" applyAlignment="1" applyProtection="1">
      <alignment horizontal="center" vertical="center"/>
      <protection locked="0"/>
    </xf>
    <xf numFmtId="0" fontId="8" fillId="38" borderId="85" xfId="0" applyFont="1" applyFill="1" applyBorder="1" applyAlignment="1" applyProtection="1">
      <alignment horizontal="center" vertical="center"/>
      <protection locked="0"/>
    </xf>
    <xf numFmtId="0" fontId="8" fillId="38" borderId="36" xfId="0" applyFont="1" applyFill="1" applyBorder="1" applyAlignment="1" applyProtection="1">
      <alignment horizontal="center" vertical="center"/>
      <protection locked="0"/>
    </xf>
    <xf numFmtId="0" fontId="8" fillId="7" borderId="33" xfId="0" applyFont="1" applyFill="1" applyBorder="1" applyAlignment="1" applyProtection="1">
      <alignment horizontal="center"/>
      <protection locked="0"/>
    </xf>
    <xf numFmtId="0" fontId="8" fillId="7" borderId="125" xfId="0" applyFont="1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protection locked="0"/>
    </xf>
    <xf numFmtId="0" fontId="8" fillId="5" borderId="32" xfId="0" applyFont="1" applyFill="1" applyBorder="1" applyAlignment="1" applyProtection="1">
      <alignment horizontal="center" vertical="distributed"/>
      <protection locked="0"/>
    </xf>
    <xf numFmtId="0" fontId="0" fillId="3" borderId="37" xfId="0" applyFill="1" applyBorder="1" applyAlignment="1" applyProtection="1">
      <protection locked="0"/>
    </xf>
    <xf numFmtId="0" fontId="0" fillId="0" borderId="41" xfId="0" applyBorder="1"/>
    <xf numFmtId="0" fontId="0" fillId="0" borderId="39" xfId="0" applyBorder="1"/>
    <xf numFmtId="0" fontId="8" fillId="39" borderId="32" xfId="0" applyFont="1" applyFill="1" applyBorder="1" applyAlignment="1" applyProtection="1">
      <alignment horizontal="center"/>
      <protection locked="0"/>
    </xf>
    <xf numFmtId="0" fontId="8" fillId="39" borderId="34" xfId="0" applyFont="1" applyFill="1" applyBorder="1" applyAlignment="1" applyProtection="1">
      <alignment horizontal="center"/>
      <protection locked="0"/>
    </xf>
    <xf numFmtId="10" fontId="53" fillId="0" borderId="33" xfId="2" applyNumberFormat="1" applyFont="1" applyFill="1" applyBorder="1" applyAlignment="1" applyProtection="1">
      <alignment horizontal="center" vertical="center"/>
    </xf>
    <xf numFmtId="10" fontId="53" fillId="0" borderId="85" xfId="2" applyNumberFormat="1" applyFont="1" applyFill="1" applyBorder="1" applyAlignment="1" applyProtection="1">
      <alignment horizontal="center" vertical="center"/>
    </xf>
    <xf numFmtId="0" fontId="49" fillId="34" borderId="33" xfId="0" applyFont="1" applyFill="1" applyBorder="1" applyAlignment="1" applyProtection="1">
      <alignment horizontal="center" vertical="center"/>
      <protection locked="0"/>
    </xf>
    <xf numFmtId="4" fontId="0" fillId="2" borderId="32" xfId="0" applyNumberFormat="1" applyFill="1" applyBorder="1" applyAlignment="1" applyProtection="1">
      <alignment horizontal="center"/>
      <protection locked="0"/>
    </xf>
    <xf numFmtId="4" fontId="0" fillId="2" borderId="35" xfId="0" applyNumberFormat="1" applyFill="1" applyBorder="1" applyAlignment="1" applyProtection="1">
      <alignment horizontal="center"/>
      <protection locked="0"/>
    </xf>
    <xf numFmtId="0" fontId="48" fillId="35" borderId="32" xfId="2" applyFont="1" applyFill="1" applyBorder="1" applyAlignment="1" applyProtection="1">
      <alignment horizontal="center" vertical="center"/>
      <protection locked="0"/>
    </xf>
    <xf numFmtId="0" fontId="48" fillId="35" borderId="34" xfId="2" applyFont="1" applyFill="1" applyBorder="1" applyAlignment="1" applyProtection="1">
      <alignment horizontal="center" vertical="center"/>
      <protection locked="0"/>
    </xf>
    <xf numFmtId="0" fontId="48" fillId="35" borderId="35" xfId="2" applyFont="1" applyFill="1" applyBorder="1" applyAlignment="1" applyProtection="1">
      <alignment horizontal="center" vertical="center"/>
      <protection locked="0"/>
    </xf>
    <xf numFmtId="4" fontId="53" fillId="0" borderId="104" xfId="4" applyNumberFormat="1" applyFont="1" applyFill="1" applyBorder="1" applyAlignment="1" applyProtection="1">
      <alignment horizontal="center" vertical="center"/>
    </xf>
    <xf numFmtId="4" fontId="53" fillId="0" borderId="144" xfId="4" applyNumberFormat="1" applyFont="1" applyFill="1" applyBorder="1" applyAlignment="1" applyProtection="1">
      <alignment horizontal="center" vertical="center"/>
    </xf>
    <xf numFmtId="4" fontId="53" fillId="0" borderId="105" xfId="4" applyNumberFormat="1" applyFont="1" applyFill="1" applyBorder="1" applyAlignment="1" applyProtection="1">
      <alignment horizontal="center" vertical="center"/>
    </xf>
    <xf numFmtId="4" fontId="53" fillId="0" borderId="145" xfId="4" applyNumberFormat="1" applyFont="1" applyFill="1" applyBorder="1" applyAlignment="1" applyProtection="1">
      <alignment horizontal="center" vertical="center"/>
    </xf>
    <xf numFmtId="4" fontId="53" fillId="0" borderId="33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0" fillId="6" borderId="33" xfId="0" applyFont="1" applyFill="1" applyBorder="1" applyAlignment="1" applyProtection="1">
      <alignment horizontal="center"/>
      <protection locked="0"/>
    </xf>
    <xf numFmtId="0" fontId="10" fillId="6" borderId="36" xfId="0" applyFont="1" applyFill="1" applyBorder="1" applyAlignment="1" applyProtection="1">
      <alignment horizontal="center"/>
      <protection locked="0"/>
    </xf>
    <xf numFmtId="4" fontId="53" fillId="0" borderId="104" xfId="2" applyNumberFormat="1" applyFont="1" applyFill="1" applyBorder="1" applyAlignment="1" applyProtection="1">
      <alignment horizontal="center"/>
    </xf>
    <xf numFmtId="10" fontId="59" fillId="0" borderId="118" xfId="2" applyNumberFormat="1" applyFont="1" applyFill="1" applyBorder="1" applyAlignment="1" applyProtection="1">
      <alignment horizontal="center" vertical="center"/>
    </xf>
    <xf numFmtId="10" fontId="59" fillId="0" borderId="85" xfId="2" applyNumberFormat="1" applyFont="1" applyFill="1" applyBorder="1" applyAlignment="1" applyProtection="1">
      <alignment horizontal="center" vertical="center"/>
    </xf>
    <xf numFmtId="10" fontId="59" fillId="0" borderId="125" xfId="2" applyNumberFormat="1" applyFont="1" applyFill="1" applyBorder="1" applyAlignment="1" applyProtection="1">
      <alignment horizontal="center" vertical="center"/>
    </xf>
    <xf numFmtId="0" fontId="39" fillId="31" borderId="36" xfId="2" applyFont="1" applyFill="1" applyBorder="1" applyAlignment="1" applyProtection="1">
      <alignment horizontal="center" vertical="center"/>
    </xf>
    <xf numFmtId="10" fontId="58" fillId="0" borderId="36" xfId="2" applyNumberFormat="1" applyFont="1" applyFill="1" applyBorder="1" applyAlignment="1" applyProtection="1">
      <alignment horizontal="center" vertical="center"/>
    </xf>
    <xf numFmtId="10" fontId="58" fillId="0" borderId="33" xfId="2" applyNumberFormat="1" applyFont="1" applyFill="1" applyBorder="1" applyAlignment="1" applyProtection="1">
      <alignment horizontal="center" vertical="center"/>
    </xf>
    <xf numFmtId="4" fontId="53" fillId="0" borderId="131" xfId="2" applyNumberFormat="1" applyFont="1" applyFill="1" applyBorder="1" applyAlignment="1" applyProtection="1">
      <alignment horizontal="center"/>
    </xf>
    <xf numFmtId="169" fontId="66" fillId="40" borderId="162" xfId="0" applyNumberFormat="1" applyFont="1" applyFill="1" applyBorder="1" applyAlignment="1" applyProtection="1">
      <alignment horizontal="center" vertical="center"/>
      <protection locked="0"/>
    </xf>
    <xf numFmtId="169" fontId="66" fillId="40" borderId="36" xfId="0" applyNumberFormat="1" applyFont="1" applyFill="1" applyBorder="1" applyAlignment="1" applyProtection="1">
      <alignment horizontal="center" vertical="center"/>
      <protection locked="0"/>
    </xf>
    <xf numFmtId="0" fontId="66" fillId="40" borderId="85" xfId="0" applyFont="1" applyFill="1" applyBorder="1" applyAlignment="1" applyProtection="1">
      <alignment horizontal="center"/>
      <protection locked="0"/>
    </xf>
    <xf numFmtId="0" fontId="66" fillId="40" borderId="36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49" fillId="2" borderId="7" xfId="0" applyFont="1" applyFill="1" applyBorder="1" applyAlignment="1">
      <alignment horizontal="center" wrapText="1"/>
    </xf>
    <xf numFmtId="0" fontId="49" fillId="2" borderId="8" xfId="0" applyFont="1" applyFill="1" applyBorder="1" applyAlignment="1">
      <alignment horizontal="center" wrapText="1"/>
    </xf>
    <xf numFmtId="0" fontId="49" fillId="2" borderId="9" xfId="0" applyFont="1" applyFill="1" applyBorder="1" applyAlignment="1">
      <alignment horizontal="center"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8" fillId="31" borderId="177" xfId="0" applyFont="1" applyFill="1" applyBorder="1" applyAlignment="1">
      <alignment horizontal="center" vertical="center" wrapText="1"/>
    </xf>
    <xf numFmtId="0" fontId="8" fillId="31" borderId="17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8" fillId="31" borderId="112" xfId="0" applyFont="1" applyFill="1" applyBorder="1" applyAlignment="1">
      <alignment horizontal="left" vertical="center"/>
    </xf>
    <xf numFmtId="0" fontId="68" fillId="31" borderId="114" xfId="0" applyFont="1" applyFill="1" applyBorder="1" applyAlignment="1">
      <alignment horizontal="left" vertical="center"/>
    </xf>
    <xf numFmtId="0" fontId="11" fillId="42" borderId="6" xfId="0" applyFont="1" applyFill="1" applyBorder="1" applyAlignment="1">
      <alignment horizontal="left" vertical="center"/>
    </xf>
    <xf numFmtId="0" fontId="11" fillId="42" borderId="2" xfId="0" applyFont="1" applyFill="1" applyBorder="1" applyAlignment="1">
      <alignment horizontal="left" vertical="center"/>
    </xf>
    <xf numFmtId="0" fontId="74" fillId="42" borderId="6" xfId="0" applyFont="1" applyFill="1" applyBorder="1" applyAlignment="1">
      <alignment horizontal="left" vertical="center" wrapText="1" shrinkToFit="1"/>
    </xf>
    <xf numFmtId="0" fontId="74" fillId="42" borderId="2" xfId="0" applyFont="1" applyFill="1" applyBorder="1" applyAlignment="1">
      <alignment horizontal="left" vertical="center" wrapText="1" shrinkToFit="1"/>
    </xf>
    <xf numFmtId="0" fontId="68" fillId="31" borderId="112" xfId="0" applyFont="1" applyFill="1" applyBorder="1" applyAlignment="1">
      <alignment horizontal="center" vertical="center"/>
    </xf>
    <xf numFmtId="0" fontId="68" fillId="31" borderId="114" xfId="0" applyFont="1" applyFill="1" applyBorder="1" applyAlignment="1">
      <alignment horizontal="center" vertical="center"/>
    </xf>
    <xf numFmtId="0" fontId="11" fillId="42" borderId="6" xfId="0" applyFont="1" applyFill="1" applyBorder="1" applyAlignment="1">
      <alignment horizontal="center" vertical="center"/>
    </xf>
    <xf numFmtId="0" fontId="11" fillId="42" borderId="2" xfId="0" applyFont="1" applyFill="1" applyBorder="1" applyAlignment="1">
      <alignment horizontal="center" vertical="center"/>
    </xf>
    <xf numFmtId="0" fontId="74" fillId="42" borderId="6" xfId="0" applyFont="1" applyFill="1" applyBorder="1" applyAlignment="1">
      <alignment horizontal="center" vertical="center" wrapText="1" shrinkToFit="1"/>
    </xf>
    <xf numFmtId="0" fontId="74" fillId="42" borderId="2" xfId="0" applyFont="1" applyFill="1" applyBorder="1" applyAlignment="1">
      <alignment horizontal="center" vertical="center" wrapText="1" shrinkToFit="1"/>
    </xf>
    <xf numFmtId="0" fontId="8" fillId="6" borderId="33" xfId="0" applyFont="1" applyFill="1" applyBorder="1" applyAlignment="1">
      <alignment horizontal="left" vertical="center"/>
    </xf>
    <xf numFmtId="0" fontId="8" fillId="6" borderId="85" xfId="0" applyFont="1" applyFill="1" applyBorder="1" applyAlignment="1">
      <alignment horizontal="left" vertical="center"/>
    </xf>
    <xf numFmtId="0" fontId="8" fillId="6" borderId="36" xfId="0" applyFont="1" applyFill="1" applyBorder="1" applyAlignment="1">
      <alignment horizontal="left" vertical="center"/>
    </xf>
    <xf numFmtId="0" fontId="66" fillId="54" borderId="33" xfId="0" applyFont="1" applyFill="1" applyBorder="1" applyAlignment="1">
      <alignment horizontal="center" vertical="center"/>
    </xf>
    <xf numFmtId="0" fontId="66" fillId="54" borderId="85" xfId="0" applyFont="1" applyFill="1" applyBorder="1" applyAlignment="1">
      <alignment horizontal="center" vertical="center"/>
    </xf>
    <xf numFmtId="0" fontId="66" fillId="54" borderId="36" xfId="0" applyFont="1" applyFill="1" applyBorder="1" applyAlignment="1">
      <alignment horizontal="center" vertical="center"/>
    </xf>
    <xf numFmtId="0" fontId="44" fillId="0" borderId="87" xfId="0" applyFont="1" applyBorder="1" applyAlignment="1">
      <alignment horizontal="left"/>
    </xf>
    <xf numFmtId="0" fontId="66" fillId="53" borderId="33" xfId="0" applyFont="1" applyFill="1" applyBorder="1" applyAlignment="1">
      <alignment horizontal="center" vertical="center"/>
    </xf>
    <xf numFmtId="0" fontId="66" fillId="53" borderId="85" xfId="0" applyFont="1" applyFill="1" applyBorder="1" applyAlignment="1">
      <alignment horizontal="center" vertical="center"/>
    </xf>
    <xf numFmtId="0" fontId="66" fillId="53" borderId="36" xfId="0" applyFont="1" applyFill="1" applyBorder="1" applyAlignment="1">
      <alignment horizontal="center" vertical="center"/>
    </xf>
    <xf numFmtId="0" fontId="8" fillId="53" borderId="33" xfId="0" applyFont="1" applyFill="1" applyBorder="1" applyAlignment="1">
      <alignment horizontal="center" vertical="center"/>
    </xf>
    <xf numFmtId="0" fontId="8" fillId="53" borderId="85" xfId="0" applyFont="1" applyFill="1" applyBorder="1" applyAlignment="1">
      <alignment horizontal="center" vertical="center"/>
    </xf>
    <xf numFmtId="0" fontId="8" fillId="53" borderId="36" xfId="0" applyFont="1" applyFill="1" applyBorder="1" applyAlignment="1">
      <alignment horizontal="center" vertical="center"/>
    </xf>
    <xf numFmtId="0" fontId="44" fillId="0" borderId="0" xfId="0" applyFont="1" applyAlignment="1">
      <alignment horizontal="left"/>
    </xf>
    <xf numFmtId="0" fontId="44" fillId="0" borderId="85" xfId="0" applyFont="1" applyBorder="1" applyAlignment="1">
      <alignment horizontal="left"/>
    </xf>
    <xf numFmtId="0" fontId="51" fillId="0" borderId="87" xfId="0" applyFont="1" applyBorder="1" applyAlignment="1">
      <alignment horizontal="left"/>
    </xf>
    <xf numFmtId="0" fontId="44" fillId="0" borderId="85" xfId="0" applyFont="1" applyBorder="1" applyAlignment="1">
      <alignment horizontal="left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85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44" fillId="0" borderId="89" xfId="0" applyFont="1" applyBorder="1" applyAlignment="1">
      <alignment horizontal="left" vertical="center"/>
    </xf>
    <xf numFmtId="0" fontId="44" fillId="0" borderId="40" xfId="0" applyFont="1" applyBorder="1" applyAlignment="1">
      <alignment horizontal="left" vertical="center"/>
    </xf>
    <xf numFmtId="0" fontId="8" fillId="52" borderId="27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5" xfId="0" applyBorder="1"/>
    <xf numFmtId="0" fontId="0" fillId="0" borderId="36" xfId="0" applyBorder="1"/>
    <xf numFmtId="0" fontId="23" fillId="10" borderId="1" xfId="2" applyFont="1" applyFill="1" applyBorder="1" applyAlignment="1"/>
    <xf numFmtId="0" fontId="13" fillId="10" borderId="1" xfId="2" applyFont="1" applyFill="1" applyBorder="1" applyAlignment="1"/>
    <xf numFmtId="8" fontId="24" fillId="10" borderId="1" xfId="2" applyNumberFormat="1" applyFont="1" applyFill="1" applyBorder="1" applyAlignment="1">
      <alignment horizontal="center" vertical="center"/>
    </xf>
    <xf numFmtId="0" fontId="23" fillId="21" borderId="60" xfId="2" applyFont="1" applyFill="1" applyBorder="1" applyAlignment="1">
      <alignment wrapText="1"/>
    </xf>
    <xf numFmtId="0" fontId="23" fillId="21" borderId="61" xfId="2" applyFont="1" applyFill="1" applyBorder="1" applyAlignment="1">
      <alignment wrapText="1"/>
    </xf>
    <xf numFmtId="169" fontId="24" fillId="16" borderId="54" xfId="3" applyNumberFormat="1" applyFont="1" applyFill="1" applyBorder="1" applyAlignment="1">
      <alignment horizontal="center" vertical="center" wrapText="1"/>
    </xf>
    <xf numFmtId="169" fontId="24" fillId="16" borderId="55" xfId="3" applyNumberFormat="1" applyFont="1" applyFill="1" applyBorder="1" applyAlignment="1">
      <alignment horizontal="center" vertical="center" wrapText="1"/>
    </xf>
    <xf numFmtId="169" fontId="24" fillId="16" borderId="56" xfId="3" applyNumberFormat="1" applyFont="1" applyFill="1" applyBorder="1" applyAlignment="1">
      <alignment horizontal="center" vertical="center" wrapText="1"/>
    </xf>
    <xf numFmtId="0" fontId="23" fillId="12" borderId="60" xfId="2" applyFont="1" applyFill="1" applyBorder="1" applyAlignment="1">
      <alignment wrapText="1"/>
    </xf>
    <xf numFmtId="0" fontId="23" fillId="12" borderId="61" xfId="2" applyFont="1" applyFill="1" applyBorder="1" applyAlignment="1">
      <alignment wrapText="1"/>
    </xf>
    <xf numFmtId="0" fontId="23" fillId="22" borderId="60" xfId="2" applyFont="1" applyFill="1" applyBorder="1" applyAlignment="1">
      <alignment wrapText="1"/>
    </xf>
    <xf numFmtId="0" fontId="23" fillId="22" borderId="61" xfId="2" applyFont="1" applyFill="1" applyBorder="1" applyAlignment="1">
      <alignment wrapText="1"/>
    </xf>
    <xf numFmtId="0" fontId="23" fillId="18" borderId="60" xfId="2" applyFont="1" applyFill="1" applyBorder="1" applyAlignment="1">
      <alignment wrapText="1"/>
    </xf>
    <xf numFmtId="0" fontId="23" fillId="18" borderId="61" xfId="2" applyFont="1" applyFill="1" applyBorder="1" applyAlignment="1">
      <alignment wrapText="1"/>
    </xf>
    <xf numFmtId="0" fontId="23" fillId="19" borderId="60" xfId="2" applyFont="1" applyFill="1" applyBorder="1" applyAlignment="1">
      <alignment wrapText="1"/>
    </xf>
    <xf numFmtId="0" fontId="23" fillId="19" borderId="61" xfId="2" applyFont="1" applyFill="1" applyBorder="1" applyAlignment="1">
      <alignment wrapText="1"/>
    </xf>
    <xf numFmtId="0" fontId="23" fillId="20" borderId="60" xfId="2" applyFont="1" applyFill="1" applyBorder="1" applyAlignment="1">
      <alignment wrapText="1"/>
    </xf>
    <xf numFmtId="0" fontId="23" fillId="20" borderId="61" xfId="2" applyFont="1" applyFill="1" applyBorder="1" applyAlignment="1">
      <alignment wrapText="1"/>
    </xf>
    <xf numFmtId="0" fontId="23" fillId="14" borderId="60" xfId="2" applyFont="1" applyFill="1" applyBorder="1" applyAlignment="1">
      <alignment wrapText="1"/>
    </xf>
    <xf numFmtId="0" fontId="23" fillId="14" borderId="61" xfId="2" applyFont="1" applyFill="1" applyBorder="1" applyAlignment="1">
      <alignment wrapText="1"/>
    </xf>
    <xf numFmtId="8" fontId="24" fillId="16" borderId="54" xfId="3" applyNumberFormat="1" applyFont="1" applyFill="1" applyBorder="1" applyAlignment="1">
      <alignment horizontal="center" vertical="center" wrapText="1"/>
    </xf>
    <xf numFmtId="8" fontId="24" fillId="16" borderId="55" xfId="3" applyNumberFormat="1" applyFont="1" applyFill="1" applyBorder="1" applyAlignment="1">
      <alignment horizontal="center" vertical="center" wrapText="1"/>
    </xf>
    <xf numFmtId="8" fontId="24" fillId="16" borderId="56" xfId="3" applyNumberFormat="1" applyFont="1" applyFill="1" applyBorder="1" applyAlignment="1">
      <alignment horizontal="center" vertical="center" wrapText="1"/>
    </xf>
    <xf numFmtId="0" fontId="23" fillId="11" borderId="60" xfId="2" applyFont="1" applyFill="1" applyBorder="1" applyAlignment="1">
      <alignment wrapText="1"/>
    </xf>
    <xf numFmtId="0" fontId="23" fillId="11" borderId="61" xfId="2" applyFont="1" applyFill="1" applyBorder="1" applyAlignment="1">
      <alignment wrapText="1"/>
    </xf>
    <xf numFmtId="0" fontId="23" fillId="10" borderId="60" xfId="2" applyFont="1" applyFill="1" applyBorder="1" applyAlignment="1">
      <alignment wrapText="1"/>
    </xf>
    <xf numFmtId="0" fontId="23" fillId="10" borderId="61" xfId="2" applyFont="1" applyFill="1" applyBorder="1" applyAlignment="1">
      <alignment wrapText="1"/>
    </xf>
    <xf numFmtId="0" fontId="23" fillId="9" borderId="60" xfId="2" applyFont="1" applyFill="1" applyBorder="1" applyAlignment="1">
      <alignment wrapText="1"/>
    </xf>
    <xf numFmtId="0" fontId="23" fillId="9" borderId="61" xfId="2" applyFont="1" applyFill="1" applyBorder="1" applyAlignment="1">
      <alignment wrapText="1"/>
    </xf>
    <xf numFmtId="0" fontId="26" fillId="10" borderId="54" xfId="2" applyFont="1" applyFill="1" applyBorder="1" applyAlignment="1">
      <alignment horizontal="center" wrapText="1" shrinkToFit="1"/>
    </xf>
    <xf numFmtId="0" fontId="41" fillId="10" borderId="55" xfId="2" applyFont="1" applyFill="1" applyBorder="1" applyAlignment="1">
      <alignment horizontal="center" wrapText="1" shrinkToFit="1"/>
    </xf>
    <xf numFmtId="0" fontId="41" fillId="10" borderId="56" xfId="2" applyFont="1" applyFill="1" applyBorder="1" applyAlignment="1">
      <alignment horizontal="center" wrapText="1" shrinkToFit="1"/>
    </xf>
    <xf numFmtId="0" fontId="23" fillId="16" borderId="57" xfId="2" applyFont="1" applyFill="1" applyBorder="1" applyAlignment="1">
      <alignment wrapText="1"/>
    </xf>
    <xf numFmtId="0" fontId="23" fillId="16" borderId="58" xfId="2" applyFont="1" applyFill="1" applyBorder="1" applyAlignment="1">
      <alignment wrapText="1"/>
    </xf>
    <xf numFmtId="0" fontId="23" fillId="17" borderId="60" xfId="2" applyFont="1" applyFill="1" applyBorder="1" applyAlignment="1">
      <alignment wrapText="1"/>
    </xf>
    <xf numFmtId="0" fontId="23" fillId="17" borderId="61" xfId="2" applyFont="1" applyFill="1" applyBorder="1" applyAlignment="1">
      <alignment wrapText="1"/>
    </xf>
    <xf numFmtId="49" fontId="19" fillId="0" borderId="12" xfId="2" applyNumberFormat="1" applyFont="1" applyBorder="1" applyAlignment="1"/>
    <xf numFmtId="0" fontId="12" fillId="0" borderId="11" xfId="2" applyBorder="1" applyAlignment="1"/>
    <xf numFmtId="4" fontId="14" fillId="23" borderId="76" xfId="2" applyNumberFormat="1" applyFont="1" applyFill="1" applyBorder="1" applyAlignment="1">
      <alignment horizontal="center"/>
    </xf>
    <xf numFmtId="0" fontId="19" fillId="24" borderId="177" xfId="2" applyFont="1" applyFill="1" applyBorder="1" applyAlignment="1">
      <alignment horizontal="center"/>
    </xf>
    <xf numFmtId="0" fontId="19" fillId="24" borderId="174" xfId="2" applyFont="1" applyFill="1" applyBorder="1" applyAlignment="1">
      <alignment horizontal="center"/>
    </xf>
    <xf numFmtId="0" fontId="18" fillId="9" borderId="177" xfId="2" applyFont="1" applyFill="1" applyBorder="1" applyAlignment="1">
      <alignment horizontal="center"/>
    </xf>
    <xf numFmtId="0" fontId="18" fillId="9" borderId="178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/>
    </xf>
    <xf numFmtId="0" fontId="19" fillId="10" borderId="174" xfId="2" applyFont="1" applyFill="1" applyBorder="1" applyAlignment="1">
      <alignment horizontal="center"/>
    </xf>
    <xf numFmtId="0" fontId="19" fillId="18" borderId="177" xfId="2" applyFont="1" applyFill="1" applyBorder="1" applyAlignment="1">
      <alignment horizontal="center"/>
    </xf>
    <xf numFmtId="0" fontId="19" fillId="18" borderId="174" xfId="2" applyFont="1" applyFill="1" applyBorder="1" applyAlignment="1">
      <alignment horizontal="center"/>
    </xf>
    <xf numFmtId="0" fontId="19" fillId="25" borderId="177" xfId="2" applyFont="1" applyFill="1" applyBorder="1" applyAlignment="1">
      <alignment horizontal="center"/>
    </xf>
    <xf numFmtId="0" fontId="19" fillId="25" borderId="174" xfId="2" applyFont="1" applyFill="1" applyBorder="1" applyAlignment="1">
      <alignment horizontal="center"/>
    </xf>
    <xf numFmtId="0" fontId="19" fillId="20" borderId="177" xfId="2" applyFont="1" applyFill="1" applyBorder="1" applyAlignment="1">
      <alignment horizontal="center"/>
    </xf>
    <xf numFmtId="0" fontId="19" fillId="20" borderId="174" xfId="2" applyFont="1" applyFill="1" applyBorder="1" applyAlignment="1">
      <alignment horizontal="center"/>
    </xf>
    <xf numFmtId="0" fontId="19" fillId="21" borderId="177" xfId="2" applyFont="1" applyFill="1" applyBorder="1" applyAlignment="1">
      <alignment horizontal="center"/>
    </xf>
    <xf numFmtId="0" fontId="19" fillId="21" borderId="174" xfId="2" applyFont="1" applyFill="1" applyBorder="1" applyAlignment="1">
      <alignment horizontal="center"/>
    </xf>
    <xf numFmtId="0" fontId="19" fillId="12" borderId="177" xfId="2" applyFont="1" applyFill="1" applyBorder="1" applyAlignment="1">
      <alignment horizontal="center"/>
    </xf>
    <xf numFmtId="0" fontId="19" fillId="12" borderId="174" xfId="2" applyFont="1" applyFill="1" applyBorder="1" applyAlignment="1">
      <alignment horizontal="center"/>
    </xf>
    <xf numFmtId="0" fontId="19" fillId="11" borderId="177" xfId="2" applyFont="1" applyFill="1" applyBorder="1" applyAlignment="1">
      <alignment horizontal="center"/>
    </xf>
    <xf numFmtId="0" fontId="19" fillId="11" borderId="174" xfId="2" applyFont="1" applyFill="1" applyBorder="1" applyAlignment="1">
      <alignment horizontal="center"/>
    </xf>
    <xf numFmtId="0" fontId="22" fillId="0" borderId="176" xfId="2" applyFont="1" applyBorder="1" applyAlignment="1">
      <alignment horizontal="center" vertical="center"/>
    </xf>
    <xf numFmtId="0" fontId="22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/>
    </xf>
    <xf numFmtId="0" fontId="19" fillId="16" borderId="174" xfId="2" applyFont="1" applyFill="1" applyBorder="1" applyAlignment="1">
      <alignment horizontal="center"/>
    </xf>
    <xf numFmtId="0" fontId="19" fillId="17" borderId="177" xfId="2" applyFont="1" applyFill="1" applyBorder="1" applyAlignment="1">
      <alignment horizontal="center"/>
    </xf>
    <xf numFmtId="0" fontId="19" fillId="17" borderId="174" xfId="2" applyFont="1" applyFill="1" applyBorder="1" applyAlignment="1">
      <alignment horizontal="center"/>
    </xf>
    <xf numFmtId="0" fontId="19" fillId="9" borderId="177" xfId="2" applyFont="1" applyFill="1" applyBorder="1" applyAlignment="1">
      <alignment horizontal="center"/>
    </xf>
    <xf numFmtId="0" fontId="19" fillId="9" borderId="174" xfId="2" applyFont="1" applyFill="1" applyBorder="1" applyAlignment="1">
      <alignment horizontal="center"/>
    </xf>
    <xf numFmtId="0" fontId="19" fillId="26" borderId="177" xfId="2" applyFont="1" applyFill="1" applyBorder="1" applyAlignment="1">
      <alignment horizontal="center"/>
    </xf>
    <xf numFmtId="0" fontId="19" fillId="26" borderId="174" xfId="2" applyFont="1" applyFill="1" applyBorder="1" applyAlignment="1">
      <alignment horizontal="center"/>
    </xf>
    <xf numFmtId="0" fontId="19" fillId="24" borderId="177" xfId="2" applyFont="1" applyFill="1" applyBorder="1" applyAlignment="1">
      <alignment horizontal="center" vertical="center"/>
    </xf>
    <xf numFmtId="0" fontId="19" fillId="24" borderId="174" xfId="2" applyFont="1" applyFill="1" applyBorder="1" applyAlignment="1">
      <alignment horizontal="center" vertical="center"/>
    </xf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 vertical="center"/>
    </xf>
    <xf numFmtId="0" fontId="19" fillId="10" borderId="174" xfId="2" applyFont="1" applyFill="1" applyBorder="1" applyAlignment="1">
      <alignment horizontal="center" vertical="center"/>
    </xf>
    <xf numFmtId="0" fontId="19" fillId="18" borderId="177" xfId="2" applyFont="1" applyFill="1" applyBorder="1" applyAlignment="1">
      <alignment horizontal="center" vertical="center"/>
    </xf>
    <xf numFmtId="0" fontId="19" fillId="18" borderId="174" xfId="2" applyFont="1" applyFill="1" applyBorder="1" applyAlignment="1">
      <alignment horizontal="center" vertical="center"/>
    </xf>
    <xf numFmtId="0" fontId="19" fillId="25" borderId="177" xfId="2" applyFont="1" applyFill="1" applyBorder="1" applyAlignment="1">
      <alignment horizontal="center" vertical="center"/>
    </xf>
    <xf numFmtId="0" fontId="19" fillId="25" borderId="174" xfId="2" applyFont="1" applyFill="1" applyBorder="1" applyAlignment="1">
      <alignment horizontal="center" vertical="center"/>
    </xf>
    <xf numFmtId="0" fontId="19" fillId="20" borderId="177" xfId="2" applyFont="1" applyFill="1" applyBorder="1" applyAlignment="1">
      <alignment horizontal="center" vertical="center"/>
    </xf>
    <xf numFmtId="0" fontId="19" fillId="20" borderId="174" xfId="2" applyFont="1" applyFill="1" applyBorder="1" applyAlignment="1">
      <alignment horizontal="center" vertical="center"/>
    </xf>
    <xf numFmtId="0" fontId="19" fillId="21" borderId="177" xfId="2" applyFont="1" applyFill="1" applyBorder="1" applyAlignment="1">
      <alignment horizontal="center" vertical="center"/>
    </xf>
    <xf numFmtId="0" fontId="19" fillId="21" borderId="174" xfId="2" applyFont="1" applyFill="1" applyBorder="1" applyAlignment="1">
      <alignment horizontal="center" vertical="center"/>
    </xf>
    <xf numFmtId="0" fontId="19" fillId="12" borderId="177" xfId="2" applyFont="1" applyFill="1" applyBorder="1" applyAlignment="1">
      <alignment horizontal="center" vertical="center"/>
    </xf>
    <xf numFmtId="0" fontId="19" fillId="12" borderId="174" xfId="2" applyFont="1" applyFill="1" applyBorder="1" applyAlignment="1">
      <alignment horizontal="center" vertical="center"/>
    </xf>
    <xf numFmtId="0" fontId="19" fillId="11" borderId="177" xfId="2" applyFont="1" applyFill="1" applyBorder="1" applyAlignment="1">
      <alignment horizontal="center" vertical="center"/>
    </xf>
    <xf numFmtId="0" fontId="19" fillId="11" borderId="174" xfId="2" applyFont="1" applyFill="1" applyBorder="1" applyAlignment="1">
      <alignment horizontal="center" vertical="center"/>
    </xf>
    <xf numFmtId="0" fontId="14" fillId="0" borderId="176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 vertical="center"/>
    </xf>
    <xf numFmtId="0" fontId="19" fillId="16" borderId="174" xfId="2" applyFont="1" applyFill="1" applyBorder="1" applyAlignment="1">
      <alignment horizontal="center" vertical="center"/>
    </xf>
    <xf numFmtId="0" fontId="19" fillId="17" borderId="177" xfId="2" applyFont="1" applyFill="1" applyBorder="1" applyAlignment="1">
      <alignment horizontal="center" vertical="center"/>
    </xf>
    <xf numFmtId="0" fontId="19" fillId="17" borderId="174" xfId="2" applyFont="1" applyFill="1" applyBorder="1" applyAlignment="1">
      <alignment horizontal="center" vertical="center"/>
    </xf>
    <xf numFmtId="0" fontId="19" fillId="9" borderId="177" xfId="2" applyFont="1" applyFill="1" applyBorder="1" applyAlignment="1">
      <alignment horizontal="center" vertical="center"/>
    </xf>
    <xf numFmtId="0" fontId="19" fillId="9" borderId="174" xfId="2" applyFont="1" applyFill="1" applyBorder="1" applyAlignment="1">
      <alignment horizontal="center" vertical="center"/>
    </xf>
    <xf numFmtId="0" fontId="19" fillId="26" borderId="177" xfId="2" applyFont="1" applyFill="1" applyBorder="1" applyAlignment="1">
      <alignment horizontal="center" vertical="center"/>
    </xf>
    <xf numFmtId="0" fontId="19" fillId="26" borderId="174" xfId="2" applyFont="1" applyFill="1" applyBorder="1" applyAlignment="1">
      <alignment horizontal="center" vertical="center"/>
    </xf>
    <xf numFmtId="3" fontId="24" fillId="0" borderId="0" xfId="2" applyNumberFormat="1" applyFont="1" applyBorder="1" applyAlignment="1">
      <alignment horizontal="center"/>
    </xf>
    <xf numFmtId="3" fontId="24" fillId="0" borderId="0" xfId="2" applyNumberFormat="1" applyFont="1" applyAlignment="1">
      <alignment horizontal="center"/>
    </xf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/>
    </xf>
    <xf numFmtId="0" fontId="26" fillId="26" borderId="56" xfId="2" applyFont="1" applyFill="1" applyBorder="1" applyAlignment="1" applyProtection="1">
      <alignment horizontal="center"/>
    </xf>
    <xf numFmtId="0" fontId="12" fillId="0" borderId="33" xfId="2" applyBorder="1" applyAlignment="1">
      <alignment horizontal="left"/>
    </xf>
    <xf numFmtId="0" fontId="12" fillId="0" borderId="36" xfId="2" applyBorder="1" applyAlignment="1">
      <alignment horizontal="left"/>
    </xf>
    <xf numFmtId="0" fontId="14" fillId="0" borderId="0" xfId="2" applyFont="1" applyAlignment="1">
      <alignment horizontal="left"/>
    </xf>
    <xf numFmtId="0" fontId="12" fillId="39" borderId="37" xfId="2" applyFill="1" applyBorder="1" applyAlignment="1">
      <alignment horizontal="center"/>
    </xf>
    <xf numFmtId="0" fontId="12" fillId="39" borderId="38" xfId="2" applyFill="1" applyBorder="1" applyAlignment="1">
      <alignment horizontal="center"/>
    </xf>
    <xf numFmtId="0" fontId="12" fillId="39" borderId="41" xfId="2" applyFill="1" applyBorder="1" applyAlignment="1">
      <alignment horizontal="center"/>
    </xf>
    <xf numFmtId="0" fontId="12" fillId="39" borderId="88" xfId="2" applyFill="1" applyBorder="1" applyAlignment="1">
      <alignment horizontal="center"/>
    </xf>
    <xf numFmtId="0" fontId="12" fillId="39" borderId="39" xfId="2" applyFill="1" applyBorder="1" applyAlignment="1">
      <alignment horizontal="center"/>
    </xf>
    <xf numFmtId="0" fontId="12" fillId="39" borderId="40" xfId="2" applyFill="1" applyBorder="1" applyAlignment="1">
      <alignment horizontal="center"/>
    </xf>
    <xf numFmtId="0" fontId="12" fillId="57" borderId="33" xfId="2" applyFill="1" applyBorder="1" applyAlignment="1">
      <alignment horizontal="center"/>
    </xf>
    <xf numFmtId="0" fontId="12" fillId="57" borderId="36" xfId="2" applyFill="1" applyBorder="1" applyAlignment="1">
      <alignment horizontal="center"/>
    </xf>
    <xf numFmtId="0" fontId="12" fillId="0" borderId="33" xfId="2" applyBorder="1" applyAlignment="1">
      <alignment horizontal="left" vertical="center"/>
    </xf>
    <xf numFmtId="0" fontId="12" fillId="0" borderId="36" xfId="2" applyBorder="1" applyAlignment="1">
      <alignment horizontal="left" vertical="center"/>
    </xf>
    <xf numFmtId="0" fontId="22" fillId="0" borderId="27" xfId="2" applyFont="1" applyBorder="1" applyAlignment="1">
      <alignment horizontal="center" vertical="center"/>
    </xf>
    <xf numFmtId="0" fontId="14" fillId="0" borderId="0" xfId="2" applyFont="1" applyFill="1" applyBorder="1" applyAlignment="1">
      <alignment horizontal="left"/>
    </xf>
    <xf numFmtId="0" fontId="14" fillId="0" borderId="216" xfId="2" applyFont="1" applyBorder="1" applyAlignment="1">
      <alignment horizontal="left" vertical="center"/>
    </xf>
    <xf numFmtId="0" fontId="14" fillId="0" borderId="217" xfId="2" applyFont="1" applyBorder="1" applyAlignment="1">
      <alignment horizontal="left" vertical="center"/>
    </xf>
    <xf numFmtId="0" fontId="14" fillId="0" borderId="203" xfId="2" applyFont="1" applyBorder="1" applyAlignment="1">
      <alignment horizontal="left"/>
    </xf>
    <xf numFmtId="0" fontId="14" fillId="0" borderId="205" xfId="2" applyFont="1" applyBorder="1" applyAlignment="1">
      <alignment horizontal="left"/>
    </xf>
    <xf numFmtId="0" fontId="14" fillId="0" borderId="202" xfId="2" applyFont="1" applyBorder="1" applyAlignment="1">
      <alignment horizontal="left"/>
    </xf>
    <xf numFmtId="0" fontId="12" fillId="0" borderId="0" xfId="2" applyBorder="1" applyAlignment="1">
      <alignment horizontal="center"/>
    </xf>
    <xf numFmtId="0" fontId="12" fillId="0" borderId="0" xfId="2" applyAlignment="1">
      <alignment horizontal="center"/>
    </xf>
    <xf numFmtId="0" fontId="14" fillId="0" borderId="204" xfId="2" applyFont="1" applyBorder="1" applyAlignment="1">
      <alignment horizontal="left"/>
    </xf>
    <xf numFmtId="0" fontId="14" fillId="42" borderId="209" xfId="2" applyFont="1" applyFill="1" applyBorder="1" applyAlignment="1">
      <alignment horizontal="left" vertical="center"/>
    </xf>
    <xf numFmtId="0" fontId="14" fillId="42" borderId="210" xfId="2" applyFont="1" applyFill="1" applyBorder="1" applyAlignment="1">
      <alignment horizontal="left" vertical="center"/>
    </xf>
    <xf numFmtId="0" fontId="14" fillId="0" borderId="263" xfId="2" applyFont="1" applyFill="1" applyBorder="1" applyAlignment="1">
      <alignment horizontal="left"/>
    </xf>
    <xf numFmtId="0" fontId="14" fillId="0" borderId="264" xfId="2" applyFont="1" applyFill="1" applyBorder="1" applyAlignment="1">
      <alignment horizontal="left"/>
    </xf>
    <xf numFmtId="0" fontId="14" fillId="0" borderId="232" xfId="2" applyFont="1" applyBorder="1" applyAlignment="1">
      <alignment horizontal="left" vertical="center"/>
    </xf>
    <xf numFmtId="0" fontId="14" fillId="0" borderId="233" xfId="2" applyFont="1" applyBorder="1" applyAlignment="1">
      <alignment horizontal="left" vertical="center"/>
    </xf>
    <xf numFmtId="0" fontId="14" fillId="0" borderId="231" xfId="2" applyFont="1" applyBorder="1" applyAlignment="1">
      <alignment horizontal="left"/>
    </xf>
    <xf numFmtId="0" fontId="22" fillId="0" borderId="0" xfId="2" applyFont="1" applyAlignment="1">
      <alignment horizontal="left" vertical="center" wrapText="1"/>
    </xf>
    <xf numFmtId="0" fontId="22" fillId="38" borderId="0" xfId="2" applyFont="1" applyFill="1" applyAlignment="1">
      <alignment horizontal="center" vertical="center"/>
    </xf>
    <xf numFmtId="0" fontId="12" fillId="38" borderId="0" xfId="2" applyFill="1" applyAlignment="1">
      <alignment horizontal="center" vertical="center"/>
    </xf>
    <xf numFmtId="0" fontId="12" fillId="0" borderId="214" xfId="2" applyBorder="1" applyAlignment="1">
      <alignment horizontal="center"/>
    </xf>
    <xf numFmtId="0" fontId="14" fillId="0" borderId="263" xfId="2" applyFont="1" applyBorder="1" applyAlignment="1">
      <alignment horizontal="left"/>
    </xf>
    <xf numFmtId="0" fontId="14" fillId="0" borderId="264" xfId="2" applyFont="1" applyBorder="1" applyAlignment="1">
      <alignment horizontal="left"/>
    </xf>
    <xf numFmtId="0" fontId="14" fillId="0" borderId="235" xfId="2" applyFont="1" applyFill="1" applyBorder="1" applyAlignment="1">
      <alignment horizontal="left"/>
    </xf>
    <xf numFmtId="0" fontId="14" fillId="0" borderId="236" xfId="2" applyFont="1" applyFill="1" applyBorder="1" applyAlignment="1">
      <alignment horizontal="left"/>
    </xf>
    <xf numFmtId="0" fontId="22" fillId="38" borderId="0" xfId="2" applyFont="1" applyFill="1" applyAlignment="1">
      <alignment horizontal="center"/>
    </xf>
    <xf numFmtId="0" fontId="12" fillId="38" borderId="0" xfId="2" applyFill="1" applyAlignment="1">
      <alignment horizontal="center"/>
    </xf>
    <xf numFmtId="0" fontId="26" fillId="12" borderId="0" xfId="2" applyFont="1" applyFill="1" applyAlignment="1">
      <alignment horizontal="center"/>
    </xf>
    <xf numFmtId="0" fontId="14" fillId="0" borderId="203" xfId="2" applyFont="1" applyFill="1" applyBorder="1" applyAlignment="1">
      <alignment horizontal="left"/>
    </xf>
    <xf numFmtId="0" fontId="14" fillId="0" borderId="205" xfId="2" applyFont="1" applyFill="1" applyBorder="1" applyAlignment="1">
      <alignment horizontal="left"/>
    </xf>
    <xf numFmtId="0" fontId="14" fillId="0" borderId="203" xfId="2" applyFont="1" applyBorder="1" applyAlignment="1">
      <alignment horizontal="left" vertical="center"/>
    </xf>
    <xf numFmtId="0" fontId="14" fillId="0" borderId="205" xfId="2" applyFont="1" applyBorder="1" applyAlignment="1">
      <alignment horizontal="left" vertical="center"/>
    </xf>
    <xf numFmtId="0" fontId="14" fillId="42" borderId="257" xfId="2" applyFont="1" applyFill="1" applyBorder="1" applyAlignment="1">
      <alignment horizontal="left"/>
    </xf>
    <xf numFmtId="0" fontId="14" fillId="42" borderId="258" xfId="2" applyFont="1" applyFill="1" applyBorder="1" applyAlignment="1">
      <alignment horizontal="left"/>
    </xf>
    <xf numFmtId="0" fontId="14" fillId="42" borderId="232" xfId="2" applyFont="1" applyFill="1" applyBorder="1" applyAlignment="1">
      <alignment horizontal="left"/>
    </xf>
    <xf numFmtId="0" fontId="14" fillId="42" borderId="233" xfId="2" applyFont="1" applyFill="1" applyBorder="1" applyAlignment="1">
      <alignment horizontal="left"/>
    </xf>
    <xf numFmtId="0" fontId="14" fillId="0" borderId="207" xfId="2" applyFont="1" applyBorder="1" applyAlignment="1">
      <alignment horizontal="left"/>
    </xf>
    <xf numFmtId="0" fontId="14" fillId="0" borderId="208" xfId="2" applyFont="1" applyBorder="1" applyAlignment="1">
      <alignment horizontal="left"/>
    </xf>
    <xf numFmtId="0" fontId="14" fillId="42" borderId="203" xfId="2" applyFont="1" applyFill="1" applyBorder="1" applyAlignment="1">
      <alignment horizontal="left"/>
    </xf>
    <xf numFmtId="0" fontId="14" fillId="42" borderId="205" xfId="2" applyFont="1" applyFill="1" applyBorder="1" applyAlignment="1">
      <alignment horizontal="left"/>
    </xf>
    <xf numFmtId="0" fontId="14" fillId="42" borderId="259" xfId="2" applyFont="1" applyFill="1" applyBorder="1" applyAlignment="1">
      <alignment horizontal="left"/>
    </xf>
    <xf numFmtId="0" fontId="14" fillId="42" borderId="260" xfId="2" applyFont="1" applyFill="1" applyBorder="1" applyAlignment="1">
      <alignment horizontal="left"/>
    </xf>
    <xf numFmtId="0" fontId="12" fillId="0" borderId="213" xfId="2" applyBorder="1" applyAlignment="1">
      <alignment horizontal="center"/>
    </xf>
    <xf numFmtId="0" fontId="12" fillId="0" borderId="0" xfId="2" applyAlignment="1">
      <alignment horizontal="center" vertical="center" wrapText="1"/>
    </xf>
    <xf numFmtId="0" fontId="14" fillId="0" borderId="203" xfId="2" applyFont="1" applyBorder="1" applyAlignment="1">
      <alignment horizontal="center"/>
    </xf>
    <xf numFmtId="0" fontId="14" fillId="0" borderId="205" xfId="2" applyFont="1" applyBorder="1" applyAlignment="1">
      <alignment horizontal="center"/>
    </xf>
    <xf numFmtId="0" fontId="22" fillId="22" borderId="54" xfId="2" applyFont="1" applyFill="1" applyBorder="1" applyAlignment="1">
      <alignment horizontal="center"/>
    </xf>
    <xf numFmtId="0" fontId="22" fillId="22" borderId="56" xfId="2" applyFont="1" applyFill="1" applyBorder="1" applyAlignment="1">
      <alignment horizontal="center"/>
    </xf>
    <xf numFmtId="0" fontId="22" fillId="25" borderId="54" xfId="2" applyFont="1" applyFill="1" applyBorder="1" applyAlignment="1">
      <alignment horizontal="center"/>
    </xf>
    <xf numFmtId="0" fontId="22" fillId="25" borderId="56" xfId="2" applyFont="1" applyFill="1" applyBorder="1" applyAlignment="1">
      <alignment horizontal="center"/>
    </xf>
    <xf numFmtId="0" fontId="22" fillId="11" borderId="54" xfId="2" applyFont="1" applyFill="1" applyBorder="1" applyAlignment="1">
      <alignment horizontal="center"/>
    </xf>
    <xf numFmtId="0" fontId="22" fillId="11" borderId="56" xfId="2" applyFont="1" applyFill="1" applyBorder="1" applyAlignment="1">
      <alignment horizontal="center"/>
    </xf>
    <xf numFmtId="0" fontId="22" fillId="26" borderId="54" xfId="2" applyFont="1" applyFill="1" applyBorder="1" applyAlignment="1">
      <alignment horizontal="center"/>
    </xf>
    <xf numFmtId="0" fontId="22" fillId="26" borderId="56" xfId="2" applyFont="1" applyFill="1" applyBorder="1" applyAlignment="1">
      <alignment horizontal="center"/>
    </xf>
    <xf numFmtId="9" fontId="22" fillId="9" borderId="54" xfId="4" applyFont="1" applyFill="1" applyBorder="1" applyAlignment="1">
      <alignment horizontal="center"/>
    </xf>
    <xf numFmtId="9" fontId="22" fillId="9" borderId="56" xfId="4" applyFont="1" applyFill="1" applyBorder="1" applyAlignment="1">
      <alignment horizontal="center"/>
    </xf>
    <xf numFmtId="0" fontId="22" fillId="17" borderId="54" xfId="2" applyFont="1" applyFill="1" applyBorder="1" applyAlignment="1">
      <alignment horizontal="center"/>
    </xf>
    <xf numFmtId="0" fontId="22" fillId="17" borderId="56" xfId="2" applyFont="1" applyFill="1" applyBorder="1" applyAlignment="1">
      <alignment horizontal="center"/>
    </xf>
    <xf numFmtId="0" fontId="22" fillId="16" borderId="54" xfId="2" applyFont="1" applyFill="1" applyBorder="1" applyAlignment="1">
      <alignment horizontal="center"/>
    </xf>
    <xf numFmtId="0" fontId="22" fillId="16" borderId="56" xfId="2" applyFont="1" applyFill="1" applyBorder="1" applyAlignment="1">
      <alignment horizontal="center"/>
    </xf>
    <xf numFmtId="0" fontId="22" fillId="29" borderId="54" xfId="2" applyFont="1" applyFill="1" applyBorder="1" applyAlignment="1">
      <alignment horizontal="center"/>
    </xf>
    <xf numFmtId="0" fontId="22" fillId="29" borderId="56" xfId="2" applyFont="1" applyFill="1" applyBorder="1" applyAlignment="1">
      <alignment horizontal="center"/>
    </xf>
    <xf numFmtId="0" fontId="22" fillId="24" borderId="54" xfId="2" applyFont="1" applyFill="1" applyBorder="1" applyAlignment="1">
      <alignment horizontal="center"/>
    </xf>
    <xf numFmtId="0" fontId="22" fillId="24" borderId="56" xfId="2" applyFont="1" applyFill="1" applyBorder="1" applyAlignment="1">
      <alignment horizontal="center"/>
    </xf>
    <xf numFmtId="0" fontId="22" fillId="8" borderId="54" xfId="2" applyFont="1" applyFill="1" applyBorder="1" applyAlignment="1">
      <alignment horizontal="center"/>
    </xf>
    <xf numFmtId="0" fontId="22" fillId="8" borderId="56" xfId="2" applyFont="1" applyFill="1" applyBorder="1" applyAlignment="1">
      <alignment horizontal="center"/>
    </xf>
    <xf numFmtId="0" fontId="22" fillId="28" borderId="54" xfId="2" applyFont="1" applyFill="1" applyBorder="1" applyAlignment="1">
      <alignment horizontal="center"/>
    </xf>
    <xf numFmtId="0" fontId="22" fillId="28" borderId="56" xfId="2" applyFont="1" applyFill="1" applyBorder="1" applyAlignment="1">
      <alignment horizontal="center"/>
    </xf>
    <xf numFmtId="0" fontId="22" fillId="18" borderId="54" xfId="2" applyFont="1" applyFill="1" applyBorder="1" applyAlignment="1">
      <alignment horizontal="center"/>
    </xf>
    <xf numFmtId="0" fontId="22" fillId="18" borderId="56" xfId="2" applyFont="1" applyFill="1" applyBorder="1" applyAlignment="1">
      <alignment horizontal="center"/>
    </xf>
    <xf numFmtId="0" fontId="22" fillId="10" borderId="54" xfId="2" applyFont="1" applyFill="1" applyBorder="1" applyAlignment="1">
      <alignment horizontal="center"/>
    </xf>
    <xf numFmtId="0" fontId="22" fillId="10" borderId="56" xfId="2" applyFont="1" applyFill="1" applyBorder="1" applyAlignment="1">
      <alignment horizontal="center"/>
    </xf>
    <xf numFmtId="0" fontId="43" fillId="0" borderId="0" xfId="2" applyFont="1" applyBorder="1" applyAlignment="1"/>
    <xf numFmtId="0" fontId="43" fillId="0" borderId="0" xfId="2" applyFont="1" applyAlignment="1"/>
    <xf numFmtId="0" fontId="43" fillId="0" borderId="77" xfId="2" applyFont="1" applyBorder="1" applyAlignment="1"/>
    <xf numFmtId="0" fontId="20" fillId="0" borderId="44" xfId="2" applyFont="1" applyBorder="1" applyAlignment="1">
      <alignment horizontal="center" vertical="center" wrapText="1"/>
    </xf>
    <xf numFmtId="0" fontId="20" fillId="0" borderId="48" xfId="2" applyFont="1" applyBorder="1" applyAlignment="1">
      <alignment horizontal="center" vertical="center" wrapText="1"/>
    </xf>
    <xf numFmtId="0" fontId="22" fillId="24" borderId="45" xfId="2" applyFont="1" applyFill="1" applyBorder="1" applyAlignment="1">
      <alignment horizontal="center"/>
    </xf>
    <xf numFmtId="0" fontId="22" fillId="8" borderId="45" xfId="2" applyFont="1" applyFill="1" applyBorder="1" applyAlignment="1">
      <alignment horizontal="center"/>
    </xf>
    <xf numFmtId="0" fontId="22" fillId="28" borderId="45" xfId="2" applyFont="1" applyFill="1" applyBorder="1" applyAlignment="1">
      <alignment horizontal="center"/>
    </xf>
    <xf numFmtId="0" fontId="22" fillId="18" borderId="45" xfId="2" applyFont="1" applyFill="1" applyBorder="1" applyAlignment="1">
      <alignment horizontal="center"/>
    </xf>
    <xf numFmtId="0" fontId="22" fillId="10" borderId="45" xfId="2" applyFont="1" applyFill="1" applyBorder="1" applyAlignment="1">
      <alignment horizontal="center"/>
    </xf>
    <xf numFmtId="0" fontId="22" fillId="11" borderId="45" xfId="2" applyFont="1" applyFill="1" applyBorder="1" applyAlignment="1">
      <alignment horizontal="center"/>
    </xf>
    <xf numFmtId="0" fontId="22" fillId="26" borderId="45" xfId="2" applyFont="1" applyFill="1" applyBorder="1" applyAlignment="1">
      <alignment horizontal="center"/>
    </xf>
    <xf numFmtId="0" fontId="22" fillId="9" borderId="45" xfId="2" applyFont="1" applyFill="1" applyBorder="1" applyAlignment="1">
      <alignment horizontal="center"/>
    </xf>
    <xf numFmtId="0" fontId="22" fillId="17" borderId="45" xfId="2" applyFont="1" applyFill="1" applyBorder="1" applyAlignment="1">
      <alignment horizontal="center"/>
    </xf>
    <xf numFmtId="0" fontId="22" fillId="16" borderId="45" xfId="2" applyFont="1" applyFill="1" applyBorder="1" applyAlignment="1">
      <alignment horizontal="center"/>
    </xf>
    <xf numFmtId="0" fontId="22" fillId="29" borderId="45" xfId="2" applyFont="1" applyFill="1" applyBorder="1" applyAlignment="1">
      <alignment horizontal="center"/>
    </xf>
    <xf numFmtId="0" fontId="22" fillId="22" borderId="63" xfId="2" applyFont="1" applyFill="1" applyBorder="1" applyAlignment="1">
      <alignment horizontal="center"/>
    </xf>
    <xf numFmtId="0" fontId="22" fillId="22" borderId="71" xfId="2" applyFont="1" applyFill="1" applyBorder="1" applyAlignment="1">
      <alignment horizontal="center"/>
    </xf>
    <xf numFmtId="0" fontId="22" fillId="25" borderId="45" xfId="2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65" fontId="11" fillId="0" borderId="0" xfId="0" applyNumberFormat="1" applyFont="1" applyBorder="1"/>
    <xf numFmtId="0" fontId="3" fillId="0" borderId="101" xfId="0" applyFont="1" applyFill="1" applyBorder="1"/>
    <xf numFmtId="165" fontId="11" fillId="0" borderId="0" xfId="1" applyNumberFormat="1" applyFont="1" applyBorder="1"/>
    <xf numFmtId="1" fontId="11" fillId="0" borderId="0" xfId="0" applyNumberFormat="1" applyFont="1" applyBorder="1"/>
    <xf numFmtId="1" fontId="10" fillId="0" borderId="0" xfId="0" applyNumberFormat="1" applyFont="1" applyBorder="1"/>
    <xf numFmtId="1" fontId="11" fillId="0" borderId="0" xfId="1" applyNumberFormat="1" applyFont="1" applyBorder="1"/>
    <xf numFmtId="0" fontId="3" fillId="61" borderId="3" xfId="0" applyFont="1" applyFill="1" applyBorder="1" applyAlignment="1">
      <alignment horizontal="center"/>
    </xf>
    <xf numFmtId="0" fontId="3" fillId="61" borderId="268" xfId="0" applyFont="1" applyFill="1" applyBorder="1" applyAlignment="1">
      <alignment horizontal="center" vertical="center"/>
    </xf>
    <xf numFmtId="0" fontId="5" fillId="62" borderId="1" xfId="0" applyFont="1" applyFill="1" applyBorder="1" applyAlignment="1">
      <alignment horizontal="left"/>
    </xf>
    <xf numFmtId="165" fontId="11" fillId="62" borderId="267" xfId="1" applyNumberFormat="1" applyFont="1" applyFill="1" applyBorder="1"/>
    <xf numFmtId="0" fontId="5" fillId="0" borderId="252" xfId="0" applyFont="1" applyFill="1" applyBorder="1" applyAlignment="1">
      <alignment horizontal="left"/>
    </xf>
    <xf numFmtId="165" fontId="11" fillId="0" borderId="266" xfId="1" applyNumberFormat="1" applyFont="1" applyFill="1" applyBorder="1"/>
    <xf numFmtId="0" fontId="10" fillId="62" borderId="1" xfId="0" applyFont="1" applyFill="1" applyBorder="1" applyAlignment="1">
      <alignment horizontal="center"/>
    </xf>
    <xf numFmtId="0" fontId="0" fillId="42" borderId="1" xfId="0" applyFill="1" applyBorder="1"/>
    <xf numFmtId="9" fontId="11" fillId="62" borderId="253" xfId="1" applyFont="1" applyFill="1" applyBorder="1"/>
    <xf numFmtId="9" fontId="0" fillId="42" borderId="253" xfId="1" applyFont="1" applyFill="1" applyBorder="1"/>
    <xf numFmtId="9" fontId="11" fillId="62" borderId="267" xfId="1" applyFont="1" applyFill="1" applyBorder="1"/>
    <xf numFmtId="2" fontId="9" fillId="0" borderId="175" xfId="0" applyNumberFormat="1" applyFont="1" applyFill="1" applyBorder="1"/>
    <xf numFmtId="0" fontId="5" fillId="0" borderId="172" xfId="0" applyFont="1" applyFill="1" applyBorder="1"/>
    <xf numFmtId="10" fontId="68" fillId="0" borderId="172" xfId="1" applyNumberFormat="1" applyFont="1" applyBorder="1"/>
    <xf numFmtId="10" fontId="0" fillId="0" borderId="172" xfId="1" applyNumberFormat="1" applyFont="1" applyBorder="1"/>
    <xf numFmtId="10" fontId="0" fillId="0" borderId="248" xfId="1" applyNumberFormat="1" applyFont="1" applyBorder="1"/>
    <xf numFmtId="0" fontId="4" fillId="2" borderId="269" xfId="0" applyFont="1" applyFill="1" applyBorder="1" applyAlignment="1">
      <alignment horizontal="center" wrapText="1"/>
    </xf>
    <xf numFmtId="0" fontId="4" fillId="2" borderId="270" xfId="0" applyFont="1" applyFill="1" applyBorder="1" applyAlignment="1">
      <alignment horizontal="center" wrapText="1"/>
    </xf>
    <xf numFmtId="0" fontId="4" fillId="2" borderId="271" xfId="0" applyFont="1" applyFill="1" applyBorder="1" applyAlignment="1">
      <alignment horizontal="center" wrapText="1"/>
    </xf>
  </cellXfs>
  <cellStyles count="13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68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numFmt numFmtId="165" formatCode="0;[Red]0"/>
      <border diagonalUp="0" diagonalDown="0">
        <left style="thin">
          <color auto="1"/>
        </left>
        <right style="thick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</dxf>
    <dxf>
      <border outline="0"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ck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Estilo de tabla 1" pivot="0" count="0"/>
  </tableStyles>
  <colors>
    <mruColors>
      <color rgb="FF1E28FA"/>
      <color rgb="FFFFFF99"/>
      <color rgb="FF990099"/>
      <color rgb="FF66FF33"/>
      <color rgb="FF0000FF"/>
      <color rgb="FFFF6600"/>
      <color rgb="FFFFFFCC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0.19435262503818951</c:v>
                </c:pt>
                <c:pt idx="5" formatCode="0.00%">
                  <c:v>0.16514929296117295</c:v>
                </c:pt>
                <c:pt idx="8" formatCode="0.00%">
                  <c:v>0.1552150875022254</c:v>
                </c:pt>
                <c:pt idx="11" formatCode="0.00%">
                  <c:v>0.13578814003728371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072456"/>
        <c:axId val="250073240"/>
      </c:barChart>
      <c:catAx>
        <c:axId val="2500724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0073240"/>
        <c:crosses val="autoZero"/>
        <c:auto val="1"/>
        <c:lblAlgn val="ctr"/>
        <c:lblOffset val="100"/>
        <c:noMultiLvlLbl val="0"/>
      </c:catAx>
      <c:valAx>
        <c:axId val="25007324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00724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08" l="0.70866141732288579" r="0.70866141732288579" t="0.74803149606305408" header="0.31496062992129192" footer="0.3149606299212919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(LINARES)'!$B$104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(LINARES)'!$C$102:$N$102</c15:sqref>
                  </c15:fullRef>
                </c:ext>
              </c:extLst>
              <c:f>('MATG-JGS-JAAR AÑO (LINARES)'!$E$102,'MATG-JGS-JAAR AÑO (LINARES)'!$H$102,'MATG-JGS-JAAR AÑO (LINARES)'!$K$102,'MATG-JGS-JAAR AÑO (LINARES)'!$N$102)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(LINARES)'!$C$104:$N$104</c15:sqref>
                  </c15:fullRef>
                </c:ext>
              </c:extLst>
              <c:f>('MATG-JGS-JAAR AÑO (LINARES)'!$E$104,'MATG-JGS-JAAR AÑO (LINARES)'!$H$104,'MATG-JGS-JAAR AÑO (LINARES)'!$K$104,'MATG-JGS-JAAR AÑO (LINARES)'!$N$104)</c:f>
              <c:numCache>
                <c:formatCode>0</c:formatCode>
                <c:ptCount val="4"/>
                <c:pt idx="0">
                  <c:v>11</c:v>
                </c:pt>
                <c:pt idx="1">
                  <c:v>80</c:v>
                </c:pt>
                <c:pt idx="2">
                  <c:v>76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(LINARES)'!$B$105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(LINARES)'!$C$102:$N$102</c15:sqref>
                  </c15:fullRef>
                </c:ext>
              </c:extLst>
              <c:f>('MATG-JGS-JAAR AÑO (LINARES)'!$E$102,'MATG-JGS-JAAR AÑO (LINARES)'!$H$102,'MATG-JGS-JAAR AÑO (LINARES)'!$K$102,'MATG-JGS-JAAR AÑO (LINARES)'!$N$102)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(LINARES)'!$C$105:$N$105</c15:sqref>
                  </c15:fullRef>
                </c:ext>
              </c:extLst>
              <c:f>('MATG-JGS-JAAR AÑO (LINARES)'!$E$105,'MATG-JGS-JAAR AÑO (LINARES)'!$H$105,'MATG-JGS-JAAR AÑO (LINARES)'!$K$105,'MATG-JGS-JAAR AÑO (LINARES)'!$N$105)</c:f>
              <c:numCache>
                <c:formatCode>0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0906432"/>
        <c:axId val="270906824"/>
        <c:axId val="0"/>
      </c:bar3DChart>
      <c:catAx>
        <c:axId val="27090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906824"/>
        <c:crosses val="autoZero"/>
        <c:auto val="1"/>
        <c:lblAlgn val="ctr"/>
        <c:lblOffset val="100"/>
        <c:noMultiLvlLbl val="0"/>
      </c:catAx>
      <c:valAx>
        <c:axId val="2709068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90643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53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7226.0675757575764</c:v>
                </c:pt>
                <c:pt idx="1">
                  <c:v>6282.3410218978097</c:v>
                </c:pt>
                <c:pt idx="2">
                  <c:v>7449.5868852459025</c:v>
                </c:pt>
                <c:pt idx="3">
                  <c:v>6685.3137500000003</c:v>
                </c:pt>
                <c:pt idx="4">
                  <c:v>7631.924302788846</c:v>
                </c:pt>
                <c:pt idx="5">
                  <c:v>8608.7970054212201</c:v>
                </c:pt>
                <c:pt idx="6">
                  <c:v>8647.6294642857119</c:v>
                </c:pt>
                <c:pt idx="7">
                  <c:v>1610.5650666666668</c:v>
                </c:pt>
                <c:pt idx="8">
                  <c:v>7420.772987012987</c:v>
                </c:pt>
                <c:pt idx="9">
                  <c:v>7160.8987441130294</c:v>
                </c:pt>
                <c:pt idx="10">
                  <c:v>6614.9112881806113</c:v>
                </c:pt>
                <c:pt idx="11">
                  <c:v>3070.5984273318868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310494320"/>
        <c:axId val="310494712"/>
      </c:lineChart>
      <c:catAx>
        <c:axId val="31049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494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0494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494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DISTRIBUCION VOLUMEN ACUMULADO 2015</a:t>
            </a:r>
          </a:p>
        </c:rich>
      </c:tx>
      <c:layout>
        <c:manualLayout>
          <c:xMode val="edge"/>
          <c:yMode val="edge"/>
          <c:x val="0.23886138613861391"/>
          <c:y val="2.87907869481765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79947663614574"/>
          <c:y val="0.47780714149538545"/>
          <c:w val="0.44321766561514198"/>
          <c:h val="0.2911229009789402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1E28FA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GESTAMP LINARES S.A</a:t>
                    </a:r>
                    <a:r>
                      <a:rPr lang="en-US"/>
                      <a:t>.
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45,09%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2015'!$A$7:$A$12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2015'!$N$7:$N$12</c:f>
              <c:numCache>
                <c:formatCode>#,##0.00</c:formatCode>
                <c:ptCount val="6"/>
                <c:pt idx="0">
                  <c:v>2292236.73</c:v>
                </c:pt>
                <c:pt idx="1">
                  <c:v>2541921.34</c:v>
                </c:pt>
                <c:pt idx="2">
                  <c:v>235652.58999999997</c:v>
                </c:pt>
                <c:pt idx="3">
                  <c:v>102036.15</c:v>
                </c:pt>
                <c:pt idx="4">
                  <c:v>41185.699999999997</c:v>
                </c:pt>
                <c:pt idx="5">
                  <c:v>123842.85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  <a:ln w="38100">
      <a:solidFill>
        <a:srgbClr val="000000"/>
      </a:solidFill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VENTAS  DICIEMBRE</a:t>
            </a:r>
            <a:r>
              <a:rPr lang="es-ES" baseline="0"/>
              <a:t> </a:t>
            </a:r>
            <a:r>
              <a:rPr lang="es-ES"/>
              <a:t>2015
</a:t>
            </a:r>
          </a:p>
        </c:rich>
      </c:tx>
      <c:layout>
        <c:manualLayout>
          <c:xMode val="edge"/>
          <c:yMode val="edge"/>
          <c:x val="0.51418412244972067"/>
          <c:y val="2.988053433416543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depthPercent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25817814279747"/>
          <c:y val="0.44616996256426938"/>
          <c:w val="0.41980108973449243"/>
          <c:h val="0.2936402481448273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  <a:scene3d>
                  <a:camera prst="orthographicFront"/>
                  <a:lightRig rig="threePt" dir="t"/>
                </a:scene3d>
                <a:sp3d prstMaterial="dkEdge"/>
              </c:spPr>
              <c:txPr>
                <a:bodyPr/>
                <a:lstStyle/>
                <a:p>
                  <a:pPr>
                    <a:defRPr lang="es-ES" sz="1000" b="1" i="1" u="none" strike="noStrike" baseline="0">
                      <a:solidFill>
                        <a:schemeClr val="bg1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416166913807662"/>
                  <c:y val="6.86486601254061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049410895742038"/>
                  <c:y val="6.22442946228574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2327177207612532E-4"/>
                  <c:y val="-0.19571360807420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21378532856595156"/>
                  <c:y val="-0.143920729011476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2320113820813511E-2"/>
                  <c:y val="-0.324426362604982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41811894113739284"/>
                  <c:y val="0.159362704808408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9361263884273282"/>
                  <c:y val="0.320717443426920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 prstMaterial="dkEdge"/>
            </c:spPr>
            <c:txPr>
              <a:bodyPr/>
              <a:lstStyle/>
              <a:p>
                <a:pPr>
                  <a:defRPr lang="es-ES" sz="1000" b="1" i="1" u="none" strike="noStrike" baseline="0">
                    <a:solidFill>
                      <a:sysClr val="windowText" lastClr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2015'!$A$7:$A$12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2015'!$M$7:$M$12</c:f>
              <c:numCache>
                <c:formatCode>#,##0.00</c:formatCode>
                <c:ptCount val="6"/>
                <c:pt idx="0">
                  <c:v>129278.45</c:v>
                </c:pt>
                <c:pt idx="1">
                  <c:v>126420.76</c:v>
                </c:pt>
                <c:pt idx="2">
                  <c:v>17023.710000000003</c:v>
                </c:pt>
                <c:pt idx="3">
                  <c:v>2886.11</c:v>
                </c:pt>
                <c:pt idx="4">
                  <c:v>1867.2</c:v>
                </c:pt>
                <c:pt idx="5">
                  <c:v>13421.920000000002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8100">
      <a:solidFill>
        <a:srgbClr val="000000"/>
      </a:solidFill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FACTURACIÓN POR DÍA DE TRABAJO 2008/2013</a:t>
            </a:r>
          </a:p>
        </c:rich>
      </c:tx>
      <c:layout>
        <c:manualLayout>
          <c:xMode val="edge"/>
          <c:yMode val="edge"/>
          <c:x val="0.36473087818696887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46135088121917E-2"/>
          <c:y val="0.1561291306257124"/>
          <c:w val="0.89580553667576934"/>
          <c:h val="0.744516598107699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'Promedio Fact x día trabajo'!$A$10</c:f>
              <c:strCache>
                <c:ptCount val="1"/>
                <c:pt idx="0">
                  <c:v>Real 2012 facturación / día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71762702490512E-5"/>
                  <c:y val="-6.20596767509337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016209994463427E-5"/>
                  <c:y val="-2.6681578457962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118546872953259E-3"/>
                  <c:y val="-1.6668462494819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831938521548776E-3"/>
                  <c:y val="3.75300455864079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466953876606602E-3"/>
                  <c:y val="-1.496083713220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484288354897902E-3"/>
                  <c:y val="9.64901134081562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anchor="ctr" anchorCtr="1"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trabajo'!$B$10:$M$10</c:f>
              <c:numCache>
                <c:formatCode>_-* #,##0.00\ [$€]_-;\-* #,##0.00\ [$€]_-;_-* "-"??\ [$€]_-;_-@_-</c:formatCode>
                <c:ptCount val="12"/>
                <c:pt idx="0">
                  <c:v>9956.5400000000009</c:v>
                </c:pt>
                <c:pt idx="1">
                  <c:v>10332.19</c:v>
                </c:pt>
                <c:pt idx="2">
                  <c:v>9349.7099999999991</c:v>
                </c:pt>
                <c:pt idx="3">
                  <c:v>8351.49</c:v>
                </c:pt>
                <c:pt idx="4">
                  <c:v>8501.31</c:v>
                </c:pt>
                <c:pt idx="5">
                  <c:v>9083.19</c:v>
                </c:pt>
                <c:pt idx="6">
                  <c:v>9093.0499999999993</c:v>
                </c:pt>
                <c:pt idx="7">
                  <c:v>7678.64</c:v>
                </c:pt>
                <c:pt idx="8">
                  <c:v>6550.3</c:v>
                </c:pt>
                <c:pt idx="9">
                  <c:v>5944.94</c:v>
                </c:pt>
                <c:pt idx="10">
                  <c:v>6727.59</c:v>
                </c:pt>
                <c:pt idx="11">
                  <c:v>5067.12</c:v>
                </c:pt>
              </c:numCache>
            </c:numRef>
          </c:val>
        </c:ser>
        <c:ser>
          <c:idx val="0"/>
          <c:order val="1"/>
          <c:tx>
            <c:strRef>
              <c:f>'Promedio Fact x día trabajo'!$A$14</c:f>
              <c:strCache>
                <c:ptCount val="1"/>
                <c:pt idx="0">
                  <c:v>Real 2008 facturación / día</c:v>
                </c:pt>
              </c:strCache>
            </c:strRef>
          </c:tx>
          <c:spPr>
            <a:solidFill>
              <a:srgbClr val="66FF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trabajo'!$B$14:$M$14</c:f>
              <c:numCache>
                <c:formatCode>_-* #,##0.00\ [$€]_-;\-* #,##0.00\ [$€]_-;_-* "-"??\ [$€]_-;_-@_-</c:formatCode>
                <c:ptCount val="12"/>
                <c:pt idx="0" formatCode="_-* #,##0.00\ [$€-40A]_-;\-* #,##0.00\ [$€-40A]_-;_-* &quot;-&quot;??\ [$€-40A]_-;_-@_-">
                  <c:v>10433.629999999999</c:v>
                </c:pt>
                <c:pt idx="1">
                  <c:v>11908.99</c:v>
                </c:pt>
                <c:pt idx="2">
                  <c:v>11434.89</c:v>
                </c:pt>
                <c:pt idx="3">
                  <c:v>10685.55</c:v>
                </c:pt>
                <c:pt idx="4">
                  <c:v>12290.16</c:v>
                </c:pt>
                <c:pt idx="5">
                  <c:v>9235.7900000000009</c:v>
                </c:pt>
                <c:pt idx="6">
                  <c:v>9574.92</c:v>
                </c:pt>
                <c:pt idx="7">
                  <c:v>2993.38</c:v>
                </c:pt>
                <c:pt idx="8">
                  <c:v>10414.56</c:v>
                </c:pt>
                <c:pt idx="9">
                  <c:v>8904.4500000000007</c:v>
                </c:pt>
                <c:pt idx="10">
                  <c:v>7181.05</c:v>
                </c:pt>
                <c:pt idx="11">
                  <c:v>5204.45</c:v>
                </c:pt>
              </c:numCache>
            </c:numRef>
          </c:val>
        </c:ser>
        <c:ser>
          <c:idx val="2"/>
          <c:order val="2"/>
          <c:tx>
            <c:strRef>
              <c:f>'Promedio Fact x día trabajo'!$A$15</c:f>
              <c:strCache>
                <c:ptCount val="1"/>
                <c:pt idx="0">
                  <c:v>Objetivo 2015 facturación / día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trabajo'!$B$15:$M$15</c:f>
              <c:numCache>
                <c:formatCode>_-* #,##0.00\ [$€]_-;\-* #,##0.00\ [$€]_-;_-* "-"??\ [$€]_-;_-@_-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'Promedio Fact x día trabajo'!$A$13</c:f>
              <c:strCache>
                <c:ptCount val="1"/>
                <c:pt idx="0">
                  <c:v>Real 2009 facturación / día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ln>
                <a:noFill/>
              </a:ln>
            </c:spPr>
            <c:txPr>
              <a:bodyPr rot="-5400000" vert="horz" anchor="ctr" anchorCtr="0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trabajo'!$B$13:$M$13</c:f>
              <c:numCache>
                <c:formatCode>_-* #,##0.00\ [$€]_-;\-* #,##0.00\ [$€]_-;_-* "-"??\ [$€]_-;_-@_-</c:formatCode>
                <c:ptCount val="12"/>
                <c:pt idx="0">
                  <c:v>5024.25</c:v>
                </c:pt>
                <c:pt idx="1">
                  <c:v>4679.26</c:v>
                </c:pt>
                <c:pt idx="2">
                  <c:v>3155.19</c:v>
                </c:pt>
                <c:pt idx="3">
                  <c:v>4804.24</c:v>
                </c:pt>
                <c:pt idx="4">
                  <c:v>4171.75</c:v>
                </c:pt>
                <c:pt idx="5">
                  <c:v>3778.87</c:v>
                </c:pt>
                <c:pt idx="6">
                  <c:v>5880.57</c:v>
                </c:pt>
                <c:pt idx="7">
                  <c:v>1003.95</c:v>
                </c:pt>
                <c:pt idx="8">
                  <c:v>4536.92</c:v>
                </c:pt>
                <c:pt idx="9">
                  <c:v>5799.02</c:v>
                </c:pt>
                <c:pt idx="10">
                  <c:v>4960.3900000000003</c:v>
                </c:pt>
                <c:pt idx="11">
                  <c:v>4374.29</c:v>
                </c:pt>
              </c:numCache>
            </c:numRef>
          </c:val>
        </c:ser>
        <c:ser>
          <c:idx val="4"/>
          <c:order val="4"/>
          <c:tx>
            <c:strRef>
              <c:f>'Promedio Fact x día trabajo'!$A$12</c:f>
              <c:strCache>
                <c:ptCount val="1"/>
                <c:pt idx="0">
                  <c:v>Real 2010 facturación / día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trabajo'!$B$12:$M$12</c:f>
              <c:numCache>
                <c:formatCode>_-* #,##0.00\ [$€]_-;\-* #,##0.00\ [$€]_-;_-* "-"??\ [$€]_-;_-@_-</c:formatCode>
                <c:ptCount val="12"/>
                <c:pt idx="0">
                  <c:v>5645.8733333333357</c:v>
                </c:pt>
                <c:pt idx="1">
                  <c:v>5305.2955000000011</c:v>
                </c:pt>
                <c:pt idx="2">
                  <c:v>5792.7473684210518</c:v>
                </c:pt>
                <c:pt idx="3">
                  <c:v>6247.7710000000015</c:v>
                </c:pt>
                <c:pt idx="4">
                  <c:v>5971.318571428571</c:v>
                </c:pt>
                <c:pt idx="5">
                  <c:v>6322.3113636363651</c:v>
                </c:pt>
                <c:pt idx="6">
                  <c:v>5923.4595454545452</c:v>
                </c:pt>
                <c:pt idx="7">
                  <c:v>3466.018333333333</c:v>
                </c:pt>
                <c:pt idx="8">
                  <c:v>5277.7972727272718</c:v>
                </c:pt>
                <c:pt idx="9">
                  <c:v>6141.9214999999986</c:v>
                </c:pt>
                <c:pt idx="10">
                  <c:v>6219.2657142857142</c:v>
                </c:pt>
                <c:pt idx="11">
                  <c:v>5767.256428571427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496280"/>
        <c:axId val="310496672"/>
      </c:barChart>
      <c:catAx>
        <c:axId val="310496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496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496672"/>
        <c:scaling>
          <c:orientation val="minMax"/>
        </c:scaling>
        <c:delete val="0"/>
        <c:axPos val="l"/>
        <c:numFmt formatCode="_-* #,##0.00\ [$€]_-;\-* #,##0.00\ [$€]_-;_-* &quot;-&quot;??\ [$€]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496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txPr>
          <a:bodyPr/>
          <a:lstStyle/>
          <a:p>
            <a:pPr>
              <a:defRPr lang="es-ES" sz="825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7088694747260107"/>
          <c:y val="2.0712805636137585E-3"/>
          <c:w val="0.14621807093891453"/>
          <c:h val="0.1464173228346470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534376"/>
        <c:axId val="313534768"/>
      </c:barChart>
      <c:catAx>
        <c:axId val="31353437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313534768"/>
        <c:crosses val="autoZero"/>
        <c:auto val="0"/>
        <c:lblAlgn val="ctr"/>
        <c:lblOffset val="100"/>
        <c:tickMarkSkip val="1"/>
        <c:noMultiLvlLbl val="0"/>
      </c:catAx>
      <c:valAx>
        <c:axId val="3135347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31353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1465" r="0.75000000000001465" t="1" header="0.511811024" footer="0.511811024"/>
    <c:pageSetup paperSize="9" orientation="landscape" horizontalDpi="-4" verticalDpi="300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COMPARATIVA REAL VENTAS 2014-2015 PRESUPUESTO 2015</a:t>
            </a:r>
          </a:p>
        </c:rich>
      </c:tx>
      <c:layout>
        <c:manualLayout>
          <c:xMode val="edge"/>
          <c:yMode val="edge"/>
          <c:x val="0.24738675958188194"/>
          <c:y val="2.8169014084507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92251299677124E-2"/>
          <c:y val="0.23564593301435421"/>
          <c:w val="0.78280201143460004"/>
          <c:h val="0.70215311004784686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Vtas mes 2014-2015'!$A$8</c:f>
              <c:strCache>
                <c:ptCount val="1"/>
                <c:pt idx="0">
                  <c:v>TOTAL 2014 real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2014-2015'!$B$8:$M$8</c:f>
              <c:numCache>
                <c:formatCode>_-* #,##0.00\ [$€]_-;\-* #,##0.00\ [$€]_-;_-* "-"??\ [$€]_-;_-@_-</c:formatCode>
                <c:ptCount val="12"/>
                <c:pt idx="0">
                  <c:v>226661.28</c:v>
                </c:pt>
                <c:pt idx="1">
                  <c:v>185766.06000000003</c:v>
                </c:pt>
                <c:pt idx="2">
                  <c:v>224952.76000000004</c:v>
                </c:pt>
                <c:pt idx="3">
                  <c:v>190299.05999999997</c:v>
                </c:pt>
                <c:pt idx="4">
                  <c:v>205613.97999999998</c:v>
                </c:pt>
                <c:pt idx="5">
                  <c:v>269379.32</c:v>
                </c:pt>
                <c:pt idx="6">
                  <c:v>278892.20000000007</c:v>
                </c:pt>
                <c:pt idx="7">
                  <c:v>51614.78</c:v>
                </c:pt>
                <c:pt idx="8">
                  <c:v>276750.99</c:v>
                </c:pt>
                <c:pt idx="9">
                  <c:v>253016.83000000002</c:v>
                </c:pt>
                <c:pt idx="10">
                  <c:v>251678.77000000002</c:v>
                </c:pt>
                <c:pt idx="11">
                  <c:v>90400.52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'Comparación Vtas mes 2014-2015'!$A$9</c:f>
              <c:strCache>
                <c:ptCount val="1"/>
                <c:pt idx="0">
                  <c:v>TOTAL 2015 real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2014-2015'!$B$9:$M$9</c:f>
              <c:numCache>
                <c:formatCode>_-* #,##0.00\ [$€]_-;\-* #,##0.00\ [$€]_-;_-* "-"??\ [$€]_-;_-@_-</c:formatCode>
                <c:ptCount val="12"/>
                <c:pt idx="0">
                  <c:v>238460.23000000004</c:v>
                </c:pt>
                <c:pt idx="1">
                  <c:v>215170.18000000002</c:v>
                </c:pt>
                <c:pt idx="2">
                  <c:v>221325.72000000003</c:v>
                </c:pt>
                <c:pt idx="3">
                  <c:v>213930.04</c:v>
                </c:pt>
                <c:pt idx="4">
                  <c:v>249029.69</c:v>
                </c:pt>
                <c:pt idx="5">
                  <c:v>300128.49</c:v>
                </c:pt>
                <c:pt idx="6">
                  <c:v>324111.37</c:v>
                </c:pt>
                <c:pt idx="7">
                  <c:v>60396.19</c:v>
                </c:pt>
                <c:pt idx="8">
                  <c:v>285699.75999999989</c:v>
                </c:pt>
                <c:pt idx="9">
                  <c:v>273689.55</c:v>
                </c:pt>
                <c:pt idx="10">
                  <c:v>249051.40999999997</c:v>
                </c:pt>
                <c:pt idx="11">
                  <c:v>167078.34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Vtas mes 2014-2015'!$A$11</c:f>
              <c:strCache>
                <c:ptCount val="1"/>
                <c:pt idx="0">
                  <c:v>PRESUPUESTO 2015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2014-2015'!$B$11:$M$11</c:f>
              <c:numCache>
                <c:formatCode>_("€"* #,##0.00_);_("€"* \(#,##0.00\);_("€"*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Vtas mes 2014-2015'!$A$12</c:f>
              <c:strCache>
                <c:ptCount val="1"/>
                <c:pt idx="0">
                  <c:v>PRESU REVISADO 05</c:v>
                </c:pt>
              </c:strCache>
            </c:strRef>
          </c:tx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2014-2015'!$B$12:$M$12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35552"/>
        <c:axId val="313535944"/>
      </c:lineChart>
      <c:catAx>
        <c:axId val="3135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3535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535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3535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96875701052613"/>
          <c:y val="0.48325358851674644"/>
          <c:w val="0.10372348282882179"/>
          <c:h val="0.113636363636363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98425196850393659" header="0" footer="0"/>
    <c:pageSetup paperSize="9" orientation="landscape" horizontalDpi="-4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COMPARACIÓN ACUMUL. VENTAS 2014/2015</a:t>
            </a:r>
          </a:p>
        </c:rich>
      </c:tx>
      <c:layout>
        <c:manualLayout>
          <c:xMode val="edge"/>
          <c:yMode val="edge"/>
          <c:x val="0.34353741496598639"/>
          <c:y val="2.9520295202952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5578535405007E-2"/>
          <c:y val="0.18946082500690944"/>
          <c:w val="0.88436608724908428"/>
          <c:h val="0.71267383181406363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Acum. Vtas 2014-15'!$B$8</c:f>
              <c:strCache>
                <c:ptCount val="1"/>
                <c:pt idx="0">
                  <c:v>ACUM.2014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2014-15'!$C$8:$N$8</c:f>
              <c:numCache>
                <c:formatCode>_-* #,##0.00\ [$€]_-;\-* #,##0.00\ [$€]_-;_-* "-"??\ [$€]_-;_-@_-</c:formatCode>
                <c:ptCount val="12"/>
                <c:pt idx="0">
                  <c:v>226661.28</c:v>
                </c:pt>
                <c:pt idx="1">
                  <c:v>412427.34</c:v>
                </c:pt>
                <c:pt idx="2">
                  <c:v>637380.10000000009</c:v>
                </c:pt>
                <c:pt idx="3">
                  <c:v>827679.16</c:v>
                </c:pt>
                <c:pt idx="4">
                  <c:v>1033293.14</c:v>
                </c:pt>
                <c:pt idx="5">
                  <c:v>1302672.46</c:v>
                </c:pt>
                <c:pt idx="6">
                  <c:v>1581564.6600000001</c:v>
                </c:pt>
                <c:pt idx="7">
                  <c:v>1633179.4400000002</c:v>
                </c:pt>
                <c:pt idx="8">
                  <c:v>1909930.4300000002</c:v>
                </c:pt>
                <c:pt idx="9">
                  <c:v>2162947.2600000002</c:v>
                </c:pt>
                <c:pt idx="10">
                  <c:v>2414626.0300000003</c:v>
                </c:pt>
                <c:pt idx="11">
                  <c:v>2505026.5500000003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'Comparación Acum. Vtas 2014-15'!$B$9</c:f>
              <c:strCache>
                <c:ptCount val="1"/>
                <c:pt idx="0">
                  <c:v>ACUM.2015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2014-15'!$C$9:$N$9</c:f>
              <c:numCache>
                <c:formatCode>_-* #,##0.00\ [$€]_-;\-* #,##0.00\ [$€]_-;_-* "-"??\ [$€]_-;_-@_-</c:formatCode>
                <c:ptCount val="12"/>
                <c:pt idx="0">
                  <c:v>238460.23000000004</c:v>
                </c:pt>
                <c:pt idx="1">
                  <c:v>453630.41000000003</c:v>
                </c:pt>
                <c:pt idx="2">
                  <c:v>674956.13000000012</c:v>
                </c:pt>
                <c:pt idx="3">
                  <c:v>888886.17000000016</c:v>
                </c:pt>
                <c:pt idx="4">
                  <c:v>1137915.8600000001</c:v>
                </c:pt>
                <c:pt idx="5">
                  <c:v>1438044.35</c:v>
                </c:pt>
                <c:pt idx="6">
                  <c:v>1762155.7200000002</c:v>
                </c:pt>
                <c:pt idx="7">
                  <c:v>1822551.9100000001</c:v>
                </c:pt>
                <c:pt idx="8">
                  <c:v>2108251.67</c:v>
                </c:pt>
                <c:pt idx="9">
                  <c:v>2381941.2199999997</c:v>
                </c:pt>
                <c:pt idx="10">
                  <c:v>2630992.63</c:v>
                </c:pt>
                <c:pt idx="11">
                  <c:v>2798070.9699999997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Acum. Vtas 2014-15'!$B$11</c:f>
              <c:strCache>
                <c:ptCount val="1"/>
                <c:pt idx="0">
                  <c:v>PREUPUESTO 15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2014-15'!$C$11:$N$11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Acum. Vtas 2014-15'!$B$12</c:f>
              <c:strCache>
                <c:ptCount val="1"/>
                <c:pt idx="0">
                  <c:v>PRESU REVISADO 06</c:v>
                </c:pt>
              </c:strCache>
            </c:strRef>
          </c:tx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2014-15'!$C$12:$N$12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36728"/>
        <c:axId val="313537120"/>
      </c:lineChart>
      <c:catAx>
        <c:axId val="313536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353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53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3536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43447585015228"/>
          <c:y val="0.65621199654714413"/>
          <c:w val="0.10740587151702886"/>
          <c:h val="0.131744282289571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0.19435262503818951</c:v>
                </c:pt>
                <c:pt idx="5" formatCode="0.00%">
                  <c:v>0.16514929296117295</c:v>
                </c:pt>
                <c:pt idx="8" formatCode="0.00%">
                  <c:v>0.1552150875022254</c:v>
                </c:pt>
                <c:pt idx="11" formatCode="0.00%">
                  <c:v>0.13578814003728371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908000"/>
        <c:axId val="270908392"/>
      </c:barChart>
      <c:catAx>
        <c:axId val="2709080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908392"/>
        <c:crosses val="autoZero"/>
        <c:auto val="1"/>
        <c:lblAlgn val="ctr"/>
        <c:lblOffset val="100"/>
        <c:noMultiLvlLbl val="0"/>
      </c:catAx>
      <c:valAx>
        <c:axId val="27090839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9080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5.7247040976582016E-2</c:v>
                </c:pt>
                <c:pt idx="5" formatCode="0.00%">
                  <c:v>5.332458152741501E-2</c:v>
                </c:pt>
                <c:pt idx="8" formatCode="0.00%">
                  <c:v>5.0478290064603137E-2</c:v>
                </c:pt>
                <c:pt idx="11" formatCode="0.00%">
                  <c:v>5.3606326932775096E-2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909176"/>
        <c:axId val="270909568"/>
      </c:barChart>
      <c:catAx>
        <c:axId val="270909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909568"/>
        <c:crosses val="autoZero"/>
        <c:auto val="1"/>
        <c:lblAlgn val="ctr"/>
        <c:lblOffset val="100"/>
        <c:noMultiLvlLbl val="0"/>
      </c:catAx>
      <c:valAx>
        <c:axId val="27090956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909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(LINARES)'!$C$40:$N$40</c:f>
              <c:numCache>
                <c:formatCode>0</c:formatCode>
                <c:ptCount val="12"/>
                <c:pt idx="2">
                  <c:v>3</c:v>
                </c:pt>
                <c:pt idx="5">
                  <c:v>3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(LINARES)'!$C$41:$N$41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907624"/>
        <c:axId val="273908016"/>
      </c:barChart>
      <c:catAx>
        <c:axId val="273907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3908016"/>
        <c:crosses val="autoZero"/>
        <c:auto val="1"/>
        <c:lblAlgn val="ctr"/>
        <c:lblOffset val="100"/>
        <c:noMultiLvlLbl val="0"/>
      </c:catAx>
      <c:valAx>
        <c:axId val="2739080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39076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INDICADOR REAL</c:v>
          </c:tx>
          <c:marker>
            <c:symbol val="none"/>
          </c:marker>
          <c:cat>
            <c:strRef>
              <c:f>'MATG-JGS-JAAR AÑO (LINARES)'!$C$55:$N$55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(LINARES)'!$C$58:$N$58</c:f>
              <c:numCache>
                <c:formatCode>0.00%</c:formatCode>
                <c:ptCount val="12"/>
                <c:pt idx="0">
                  <c:v>0.10898408641616997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'MATG-JGS-JAAR AÑO (LINARES)'!$C$55:$N$55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(LINARES)'!$C$59:$N$59</c:f>
              <c:numCache>
                <c:formatCode>0.00%</c:formatCode>
                <c:ptCount val="12"/>
                <c:pt idx="0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908800"/>
        <c:axId val="273909192"/>
      </c:lineChart>
      <c:catAx>
        <c:axId val="273908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3909192"/>
        <c:crosses val="autoZero"/>
        <c:auto val="1"/>
        <c:lblAlgn val="ctr"/>
        <c:lblOffset val="100"/>
        <c:noMultiLvlLbl val="0"/>
      </c:catAx>
      <c:valAx>
        <c:axId val="2739091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39088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(LINARES)'!$C$68:$N$68</c:f>
              <c:numCache>
                <c:formatCode>0.00</c:formatCode>
                <c:ptCount val="12"/>
                <c:pt idx="2" formatCode="0.00%">
                  <c:v>0.78833884420331024</c:v>
                </c:pt>
                <c:pt idx="5" formatCode="0.00%">
                  <c:v>0.82115489870882818</c:v>
                </c:pt>
                <c:pt idx="8" formatCode="0.00%">
                  <c:v>0.82414525024723229</c:v>
                </c:pt>
                <c:pt idx="11" formatCode="0.00%">
                  <c:v>0.87164125334286768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(LINARES)'!$C$69:$N$69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909976"/>
        <c:axId val="273910368"/>
      </c:barChart>
      <c:catAx>
        <c:axId val="273909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3910368"/>
        <c:crosses val="autoZero"/>
        <c:auto val="1"/>
        <c:lblAlgn val="ctr"/>
        <c:lblOffset val="100"/>
        <c:noMultiLvlLbl val="0"/>
      </c:catAx>
      <c:valAx>
        <c:axId val="27391036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3909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605"/>
          <c:y val="0.16033220495079661"/>
          <c:w val="0.14411239192643832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(LINARES)'!$C$75</c:f>
              <c:numCache>
                <c:formatCode>0.00%</c:formatCode>
                <c:ptCount val="1"/>
                <c:pt idx="0">
                  <c:v>9.1899999999999996E-2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(LINARES)'!$C$76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3911152"/>
        <c:axId val="274091960"/>
        <c:axId val="0"/>
      </c:bar3DChart>
      <c:catAx>
        <c:axId val="27391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91960"/>
        <c:crosses val="autoZero"/>
        <c:auto val="1"/>
        <c:lblAlgn val="ctr"/>
        <c:lblOffset val="100"/>
        <c:noMultiLvlLbl val="0"/>
      </c:catAx>
      <c:valAx>
        <c:axId val="2740919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39111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(LINARES)'!$B$49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numRef>
              <c:f>('MATG-JGS-JAAR AÑO (LINARES)'!$E$46,'MATG-JGS-JAAR AÑO (LINARES)'!$H$46,'MATG-JGS-JAAR AÑO (LINARES)'!$K$46,'MATG-JGS-JAAR AÑO (LINARES)'!$N$46)</c:f>
              <c:numCache>
                <c:formatCode>General</c:formatCode>
                <c:ptCount val="4"/>
              </c:numCache>
            </c:numRef>
          </c:cat>
          <c:val>
            <c:numRef>
              <c:f>('MATG-JGS-JAAR AÑO (LINARES)'!$E$49,'MATG-JGS-JAAR AÑO (LINARES)'!$H$49,'MATG-JGS-JAAR AÑO (LINARES)'!$K$49,'MATG-JGS-JAAR AÑO (LINARES)'!$N$49)</c:f>
              <c:numCache>
                <c:formatCode>0</c:formatCode>
                <c:ptCount val="4"/>
              </c:numCache>
            </c:numRef>
          </c:val>
        </c:ser>
        <c:ser>
          <c:idx val="1"/>
          <c:order val="1"/>
          <c:tx>
            <c:strRef>
              <c:f>'MATG-JGS-JAAR AÑO (LINARES)'!$B$50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numRef>
              <c:f>('MATG-JGS-JAAR AÑO (LINARES)'!$E$46,'MATG-JGS-JAAR AÑO (LINARES)'!$H$46,'MATG-JGS-JAAR AÑO (LINARES)'!$K$46,'MATG-JGS-JAAR AÑO (LINARES)'!$N$46)</c:f>
              <c:numCache>
                <c:formatCode>General</c:formatCode>
                <c:ptCount val="4"/>
              </c:numCache>
            </c:numRef>
          </c:cat>
          <c:val>
            <c:numRef>
              <c:f>('MATG-JGS-JAAR AÑO (LINARES)'!$E$50,'MATG-JGS-JAAR AÑO (LINARES)'!$H$50,'MATG-JGS-JAAR AÑO (LINARES)'!$K$50,'MATG-JGS-JAAR AÑO (LINARES)'!$N$50)</c:f>
              <c:numCache>
                <c:formatCode>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092744"/>
        <c:axId val="274093136"/>
      </c:barChart>
      <c:catAx>
        <c:axId val="274092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93136"/>
        <c:crosses val="autoZero"/>
        <c:auto val="1"/>
        <c:lblAlgn val="ctr"/>
        <c:lblOffset val="100"/>
        <c:noMultiLvlLbl val="0"/>
      </c:catAx>
      <c:valAx>
        <c:axId val="2740931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927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(LINARES)'!$B$85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(LINARES)'!$B$86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(LINARES)'!$C$86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4093920"/>
        <c:axId val="274094312"/>
        <c:axId val="0"/>
      </c:bar3DChart>
      <c:catAx>
        <c:axId val="274093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94312"/>
        <c:crosses val="autoZero"/>
        <c:auto val="1"/>
        <c:lblAlgn val="ctr"/>
        <c:lblOffset val="100"/>
        <c:noMultiLvlLbl val="0"/>
      </c:catAx>
      <c:valAx>
        <c:axId val="2740943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93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1.35E-2</c:v>
                </c:pt>
                <c:pt idx="5">
                  <c:v>4.7999999999999996E-3</c:v>
                </c:pt>
                <c:pt idx="8">
                  <c:v>1.3599999999999999E-2</c:v>
                </c:pt>
                <c:pt idx="11">
                  <c:v>3.2599999999999997E-2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095488"/>
        <c:axId val="276653488"/>
      </c:barChart>
      <c:catAx>
        <c:axId val="2740954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653488"/>
        <c:crosses val="autoZero"/>
        <c:auto val="1"/>
        <c:lblAlgn val="ctr"/>
        <c:lblOffset val="100"/>
        <c:noMultiLvlLbl val="0"/>
      </c:catAx>
      <c:valAx>
        <c:axId val="2766534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954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5.7247040976582016E-2</c:v>
                </c:pt>
                <c:pt idx="5" formatCode="0.00%">
                  <c:v>5.332458152741501E-2</c:v>
                </c:pt>
                <c:pt idx="8" formatCode="0.00%">
                  <c:v>5.0478290064603137E-2</c:v>
                </c:pt>
                <c:pt idx="11" formatCode="0.00%">
                  <c:v>5.3606326932775096E-2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074024"/>
        <c:axId val="250074416"/>
      </c:barChart>
      <c:catAx>
        <c:axId val="250074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0074416"/>
        <c:crosses val="autoZero"/>
        <c:auto val="1"/>
        <c:lblAlgn val="ctr"/>
        <c:lblOffset val="100"/>
        <c:noMultiLvlLbl val="0"/>
      </c:catAx>
      <c:valAx>
        <c:axId val="25007441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00740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7.575757575757576E-2</c:v>
                </c:pt>
                <c:pt idx="1">
                  <c:v>7.2992700729927001E-2</c:v>
                </c:pt>
                <c:pt idx="2">
                  <c:v>7.4515648286140101E-2</c:v>
                </c:pt>
                <c:pt idx="3">
                  <c:v>7.8125E-2</c:v>
                </c:pt>
                <c:pt idx="4">
                  <c:v>7.6616610481152328E-2</c:v>
                </c:pt>
                <c:pt idx="5">
                  <c:v>7.1709261968275817E-2</c:v>
                </c:pt>
                <c:pt idx="6">
                  <c:v>6.5651260504201669E-2</c:v>
                </c:pt>
                <c:pt idx="7">
                  <c:v>6.6666666666666666E-2</c:v>
                </c:pt>
                <c:pt idx="8">
                  <c:v>6.4935064935064929E-2</c:v>
                </c:pt>
                <c:pt idx="9">
                  <c:v>6.541077969649399E-2</c:v>
                </c:pt>
                <c:pt idx="10">
                  <c:v>6.6401062416998669E-2</c:v>
                </c:pt>
                <c:pt idx="11">
                  <c:v>6.7787418655097603E-2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654272"/>
        <c:axId val="276654664"/>
      </c:lineChart>
      <c:catAx>
        <c:axId val="276654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654664"/>
        <c:crosses val="autoZero"/>
        <c:auto val="1"/>
        <c:lblAlgn val="ctr"/>
        <c:lblOffset val="100"/>
        <c:noMultiLvlLbl val="0"/>
      </c:catAx>
      <c:valAx>
        <c:axId val="2766546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6542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0.56795634920634919</c:v>
                </c:pt>
                <c:pt idx="5" formatCode="0.00%">
                  <c:v>0.60305750153277116</c:v>
                </c:pt>
                <c:pt idx="8" formatCode="0.00%">
                  <c:v>0.52594670406732114</c:v>
                </c:pt>
                <c:pt idx="11" formatCode="0.00%">
                  <c:v>0.53215077605321504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655448"/>
        <c:axId val="276655840"/>
      </c:barChart>
      <c:catAx>
        <c:axId val="276655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655840"/>
        <c:crosses val="autoZero"/>
        <c:auto val="1"/>
        <c:lblAlgn val="ctr"/>
        <c:lblOffset val="100"/>
        <c:noMultiLvlLbl val="0"/>
      </c:catAx>
      <c:valAx>
        <c:axId val="27665584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6554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656624"/>
        <c:axId val="276657016"/>
      </c:lineChart>
      <c:catAx>
        <c:axId val="27665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657016"/>
        <c:crosses val="autoZero"/>
        <c:auto val="1"/>
        <c:lblAlgn val="ctr"/>
        <c:lblOffset val="100"/>
        <c:noMultiLvlLbl val="0"/>
      </c:catAx>
      <c:valAx>
        <c:axId val="2766570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6566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76768608"/>
        <c:axId val="276769000"/>
      </c:bubbleChart>
      <c:valAx>
        <c:axId val="2767686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769000"/>
        <c:crosses val="autoZero"/>
        <c:crossBetween val="midCat"/>
      </c:valAx>
      <c:valAx>
        <c:axId val="2767690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76860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2.47E-2</c:v>
                </c:pt>
                <c:pt idx="1">
                  <c:v>1.6000000000000001E-3</c:v>
                </c:pt>
                <c:pt idx="2">
                  <c:v>6.1000000000000004E-3</c:v>
                </c:pt>
                <c:pt idx="3">
                  <c:v>1.0999999999999999E-2</c:v>
                </c:pt>
                <c:pt idx="4">
                  <c:v>0</c:v>
                </c:pt>
                <c:pt idx="5">
                  <c:v>2.9999999999999997E-4</c:v>
                </c:pt>
                <c:pt idx="6">
                  <c:v>2.0000000000000001E-4</c:v>
                </c:pt>
                <c:pt idx="7">
                  <c:v>8.0999999999999996E-3</c:v>
                </c:pt>
                <c:pt idx="8">
                  <c:v>3.9600000000000003E-2</c:v>
                </c:pt>
                <c:pt idx="9">
                  <c:v>3.85E-2</c:v>
                </c:pt>
                <c:pt idx="10">
                  <c:v>4.53E-2</c:v>
                </c:pt>
                <c:pt idx="11">
                  <c:v>3.8899999999999997E-2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69784"/>
        <c:axId val="276770176"/>
      </c:lineChart>
      <c:catAx>
        <c:axId val="276769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770176"/>
        <c:crosses val="autoZero"/>
        <c:auto val="1"/>
        <c:lblAlgn val="ctr"/>
        <c:lblOffset val="100"/>
        <c:noMultiLvlLbl val="0"/>
      </c:catAx>
      <c:valAx>
        <c:axId val="2767701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7697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1.4500000000000001E-2</c:v>
                </c:pt>
                <c:pt idx="7">
                  <c:v>2.0000000000000001E-4</c:v>
                </c:pt>
                <c:pt idx="8">
                  <c:v>2.8999999999999998E-3</c:v>
                </c:pt>
                <c:pt idx="9">
                  <c:v>3.0999999999999999E-3</c:v>
                </c:pt>
                <c:pt idx="10">
                  <c:v>0</c:v>
                </c:pt>
                <c:pt idx="11">
                  <c:v>2.0000000000000001E-4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70960"/>
        <c:axId val="276771352"/>
      </c:lineChart>
      <c:catAx>
        <c:axId val="27677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771352"/>
        <c:crosses val="autoZero"/>
        <c:auto val="1"/>
        <c:lblAlgn val="ctr"/>
        <c:lblOffset val="100"/>
        <c:noMultiLvlLbl val="0"/>
      </c:catAx>
      <c:valAx>
        <c:axId val="2767713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7709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0.25</c:v>
                </c:pt>
                <c:pt idx="1">
                  <c:v>0.20419999999999999</c:v>
                </c:pt>
                <c:pt idx="2">
                  <c:v>0</c:v>
                </c:pt>
                <c:pt idx="3">
                  <c:v>1E-3</c:v>
                </c:pt>
                <c:pt idx="4">
                  <c:v>5.0500000000000003E-2</c:v>
                </c:pt>
                <c:pt idx="5">
                  <c:v>1.5E-3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621640"/>
        <c:axId val="277622032"/>
      </c:lineChart>
      <c:catAx>
        <c:axId val="277621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622032"/>
        <c:crosses val="autoZero"/>
        <c:auto val="1"/>
        <c:lblAlgn val="ctr"/>
        <c:lblOffset val="100"/>
        <c:noMultiLvlLbl val="0"/>
      </c:catAx>
      <c:valAx>
        <c:axId val="2776220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6216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622816"/>
        <c:axId val="277623208"/>
      </c:lineChart>
      <c:catAx>
        <c:axId val="277622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623208"/>
        <c:crosses val="autoZero"/>
        <c:auto val="1"/>
        <c:lblAlgn val="ctr"/>
        <c:lblOffset val="100"/>
        <c:noMultiLvlLbl val="0"/>
      </c:catAx>
      <c:valAx>
        <c:axId val="2776232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622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0.875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623992"/>
        <c:axId val="277624384"/>
      </c:lineChart>
      <c:catAx>
        <c:axId val="277623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624384"/>
        <c:crosses val="autoZero"/>
        <c:auto val="1"/>
        <c:lblAlgn val="ctr"/>
        <c:lblOffset val="100"/>
        <c:noMultiLvlLbl val="0"/>
      </c:catAx>
      <c:valAx>
        <c:axId val="277624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6239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0.25042933902037773</c:v>
                </c:pt>
                <c:pt idx="5" formatCode="0.00%">
                  <c:v>0.28034978707966429</c:v>
                </c:pt>
                <c:pt idx="8" formatCode="0.00%">
                  <c:v>0.29698950105958316</c:v>
                </c:pt>
                <c:pt idx="11" formatCode="0.00%">
                  <c:v>0.29578755700432569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625168"/>
        <c:axId val="277588864"/>
      </c:barChart>
      <c:catAx>
        <c:axId val="27762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588864"/>
        <c:crosses val="autoZero"/>
        <c:auto val="1"/>
        <c:lblAlgn val="ctr"/>
        <c:lblOffset val="100"/>
        <c:noMultiLvlLbl val="0"/>
      </c:catAx>
      <c:valAx>
        <c:axId val="27758886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6251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(LINARES)'!$C$40:$N$40</c:f>
              <c:numCache>
                <c:formatCode>0</c:formatCode>
                <c:ptCount val="12"/>
                <c:pt idx="2">
                  <c:v>3</c:v>
                </c:pt>
                <c:pt idx="5">
                  <c:v>3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(LINARES)'!$C$41:$N$41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075200"/>
        <c:axId val="270440576"/>
      </c:barChart>
      <c:catAx>
        <c:axId val="250075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440576"/>
        <c:crosses val="autoZero"/>
        <c:auto val="1"/>
        <c:lblAlgn val="ctr"/>
        <c:lblOffset val="100"/>
        <c:noMultiLvlLbl val="0"/>
      </c:catAx>
      <c:valAx>
        <c:axId val="2704405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00752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589648"/>
        <c:axId val="277590040"/>
      </c:barChart>
      <c:catAx>
        <c:axId val="277589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590040"/>
        <c:crosses val="autoZero"/>
        <c:auto val="1"/>
        <c:lblAlgn val="ctr"/>
        <c:lblOffset val="100"/>
        <c:noMultiLvlLbl val="0"/>
      </c:catAx>
      <c:valAx>
        <c:axId val="277590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589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(LINARES)'!$B$111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val>
            <c:numRef>
              <c:f>'RSB (LINARES)'!$C$111</c:f>
              <c:numCache>
                <c:formatCode>0.000</c:formatCode>
                <c:ptCount val="1"/>
                <c:pt idx="0">
                  <c:v>0.67500000000000004</c:v>
                </c:pt>
              </c:numCache>
            </c:numRef>
          </c:val>
        </c:ser>
        <c:ser>
          <c:idx val="1"/>
          <c:order val="1"/>
          <c:tx>
            <c:strRef>
              <c:f>'RSB (LINARES)'!$B$112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'RSB (LINARES)'!$C$112</c:f>
              <c:numCache>
                <c:formatCode>0.000</c:formatCode>
                <c:ptCount val="1"/>
                <c:pt idx="0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590824"/>
        <c:axId val="277591216"/>
        <c:axId val="0"/>
      </c:bar3DChart>
      <c:catAx>
        <c:axId val="277590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591216"/>
        <c:crosses val="autoZero"/>
        <c:auto val="1"/>
        <c:lblAlgn val="ctr"/>
        <c:lblOffset val="100"/>
        <c:noMultiLvlLbl val="0"/>
      </c:catAx>
      <c:valAx>
        <c:axId val="27759121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5908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(LINARES)'!$B$126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'RSB (LINARES)'!$C$125:$D$125</c:f>
              <c:strCache>
                <c:ptCount val="2"/>
                <c:pt idx="0">
                  <c:v>N</c:v>
                </c:pt>
                <c:pt idx="1">
                  <c:v>N-1</c:v>
                </c:pt>
              </c:strCache>
            </c:strRef>
          </c:cat>
          <c:val>
            <c:numRef>
              <c:f>'RSB (LINARES)'!$C$126:$D$126</c:f>
              <c:numCache>
                <c:formatCode>0.000</c:formatCode>
                <c:ptCount val="2"/>
                <c:pt idx="0">
                  <c:v>0.67500000000000004</c:v>
                </c:pt>
                <c:pt idx="1">
                  <c:v>0.46</c:v>
                </c:pt>
              </c:numCache>
            </c:numRef>
          </c:val>
        </c:ser>
        <c:ser>
          <c:idx val="1"/>
          <c:order val="1"/>
          <c:tx>
            <c:strRef>
              <c:f>'RSB (LINARES)'!$B$127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'RSB (LINARES)'!$C$125:$D$125</c:f>
              <c:strCache>
                <c:ptCount val="2"/>
                <c:pt idx="0">
                  <c:v>N</c:v>
                </c:pt>
                <c:pt idx="1">
                  <c:v>N-1</c:v>
                </c:pt>
              </c:strCache>
            </c:strRef>
          </c:cat>
          <c:val>
            <c:numRef>
              <c:f>'RSB (LINARES)'!$C$127:$D$127</c:f>
              <c:numCache>
                <c:formatCode>0.000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592000"/>
        <c:axId val="277592392"/>
        <c:axId val="0"/>
      </c:bar3DChart>
      <c:catAx>
        <c:axId val="27759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592392"/>
        <c:crosses val="autoZero"/>
        <c:auto val="1"/>
        <c:lblAlgn val="ctr"/>
        <c:lblOffset val="100"/>
        <c:noMultiLvlLbl val="0"/>
      </c:catAx>
      <c:valAx>
        <c:axId val="277592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5920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'RSB (LINARES)'!$B$141</c:f>
              <c:strCache>
                <c:ptCount val="1"/>
                <c:pt idx="0">
                  <c:v>TOTAL INDICADOR</c:v>
                </c:pt>
              </c:strCache>
            </c:strRef>
          </c:tx>
          <c:marker>
            <c:symbol val="none"/>
          </c:marker>
          <c:cat>
            <c:strRef>
              <c:f>'RSB (LINARES)'!$C$140:$N$140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(LINARES)'!$C$141:$N$141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'RSB (LINARES)'!$B$142</c:f>
              <c:strCache>
                <c:ptCount val="1"/>
                <c:pt idx="0">
                  <c:v>NIVEL REF.INDICADOR</c:v>
                </c:pt>
              </c:strCache>
            </c:strRef>
          </c:tx>
          <c:marker>
            <c:symbol val="none"/>
          </c:marker>
          <c:cat>
            <c:strRef>
              <c:f>'RSB (LINARES)'!$C$140:$N$140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(LINARES)'!$C$142:$N$142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935360"/>
        <c:axId val="277935752"/>
      </c:lineChart>
      <c:catAx>
        <c:axId val="27793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935752"/>
        <c:crosses val="autoZero"/>
        <c:auto val="1"/>
        <c:lblAlgn val="ctr"/>
        <c:lblOffset val="100"/>
        <c:noMultiLvlLbl val="0"/>
      </c:catAx>
      <c:valAx>
        <c:axId val="2779357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9353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1.35E-2</c:v>
                </c:pt>
                <c:pt idx="5">
                  <c:v>4.7999999999999996E-3</c:v>
                </c:pt>
                <c:pt idx="8">
                  <c:v>1.3599999999999999E-2</c:v>
                </c:pt>
                <c:pt idx="11">
                  <c:v>3.2599999999999997E-2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936928"/>
        <c:axId val="277937320"/>
      </c:barChart>
      <c:catAx>
        <c:axId val="2779369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937320"/>
        <c:crosses val="autoZero"/>
        <c:auto val="1"/>
        <c:lblAlgn val="ctr"/>
        <c:lblOffset val="100"/>
        <c:noMultiLvlLbl val="0"/>
      </c:catAx>
      <c:valAx>
        <c:axId val="2779373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9369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7.575757575757576E-2</c:v>
                </c:pt>
                <c:pt idx="1">
                  <c:v>7.2992700729927001E-2</c:v>
                </c:pt>
                <c:pt idx="2">
                  <c:v>7.4515648286140101E-2</c:v>
                </c:pt>
                <c:pt idx="3">
                  <c:v>7.8125E-2</c:v>
                </c:pt>
                <c:pt idx="4">
                  <c:v>7.6616610481152328E-2</c:v>
                </c:pt>
                <c:pt idx="5">
                  <c:v>7.1709261968275817E-2</c:v>
                </c:pt>
                <c:pt idx="6">
                  <c:v>6.5651260504201669E-2</c:v>
                </c:pt>
                <c:pt idx="7">
                  <c:v>6.6666666666666666E-2</c:v>
                </c:pt>
                <c:pt idx="8">
                  <c:v>6.4935064935064929E-2</c:v>
                </c:pt>
                <c:pt idx="9">
                  <c:v>6.541077969649399E-2</c:v>
                </c:pt>
                <c:pt idx="10">
                  <c:v>6.6401062416998669E-2</c:v>
                </c:pt>
                <c:pt idx="11">
                  <c:v>6.7787418655097603E-2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938104"/>
        <c:axId val="277938496"/>
      </c:lineChart>
      <c:catAx>
        <c:axId val="277938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938496"/>
        <c:crosses val="autoZero"/>
        <c:auto val="1"/>
        <c:lblAlgn val="ctr"/>
        <c:lblOffset val="100"/>
        <c:noMultiLvlLbl val="0"/>
      </c:catAx>
      <c:valAx>
        <c:axId val="277938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9381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0.56795634920634919</c:v>
                </c:pt>
                <c:pt idx="5" formatCode="0.00%">
                  <c:v>0.60305750153277116</c:v>
                </c:pt>
                <c:pt idx="8" formatCode="0.00%">
                  <c:v>0.52594670406732114</c:v>
                </c:pt>
                <c:pt idx="11" formatCode="0.00%">
                  <c:v>0.53215077605321504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224032"/>
        <c:axId val="286224424"/>
      </c:barChart>
      <c:catAx>
        <c:axId val="28622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24424"/>
        <c:crosses val="autoZero"/>
        <c:auto val="1"/>
        <c:lblAlgn val="ctr"/>
        <c:lblOffset val="100"/>
        <c:noMultiLvlLbl val="0"/>
      </c:catAx>
      <c:valAx>
        <c:axId val="28622442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240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225208"/>
        <c:axId val="286225600"/>
      </c:lineChart>
      <c:catAx>
        <c:axId val="286225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25600"/>
        <c:crosses val="autoZero"/>
        <c:auto val="1"/>
        <c:lblAlgn val="ctr"/>
        <c:lblOffset val="100"/>
        <c:noMultiLvlLbl val="0"/>
      </c:catAx>
      <c:valAx>
        <c:axId val="2862256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25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86226776"/>
        <c:axId val="286227168"/>
      </c:bubbleChart>
      <c:valAx>
        <c:axId val="286226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27168"/>
        <c:crosses val="autoZero"/>
        <c:crossBetween val="midCat"/>
      </c:valAx>
      <c:valAx>
        <c:axId val="2862271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2677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2.47E-2</c:v>
                </c:pt>
                <c:pt idx="1">
                  <c:v>1.6000000000000001E-3</c:v>
                </c:pt>
                <c:pt idx="2">
                  <c:v>6.1000000000000004E-3</c:v>
                </c:pt>
                <c:pt idx="3">
                  <c:v>1.0999999999999999E-2</c:v>
                </c:pt>
                <c:pt idx="4">
                  <c:v>0</c:v>
                </c:pt>
                <c:pt idx="5">
                  <c:v>2.9999999999999997E-4</c:v>
                </c:pt>
                <c:pt idx="6">
                  <c:v>2.0000000000000001E-4</c:v>
                </c:pt>
                <c:pt idx="7">
                  <c:v>8.0999999999999996E-3</c:v>
                </c:pt>
                <c:pt idx="8">
                  <c:v>3.9600000000000003E-2</c:v>
                </c:pt>
                <c:pt idx="9">
                  <c:v>3.85E-2</c:v>
                </c:pt>
                <c:pt idx="10">
                  <c:v>4.53E-2</c:v>
                </c:pt>
                <c:pt idx="11">
                  <c:v>3.8899999999999997E-2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369064"/>
        <c:axId val="286369456"/>
      </c:lineChart>
      <c:catAx>
        <c:axId val="286369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69456"/>
        <c:crosses val="autoZero"/>
        <c:auto val="1"/>
        <c:lblAlgn val="ctr"/>
        <c:lblOffset val="100"/>
        <c:noMultiLvlLbl val="0"/>
      </c:catAx>
      <c:valAx>
        <c:axId val="2863694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690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(LINARES)'!$B$58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(LINARES)'!$C$55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(LINARES)'!$C$58</c:f>
              <c:numCache>
                <c:formatCode>0.00%</c:formatCode>
                <c:ptCount val="1"/>
                <c:pt idx="0">
                  <c:v>0.10898408641616997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(LINARES)'!$B$59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(LINARES)'!$C$55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(LINARES)'!$C$59</c:f>
              <c:numCache>
                <c:formatCode>0.00%</c:formatCode>
                <c:ptCount val="1"/>
                <c:pt idx="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442928"/>
        <c:axId val="270443320"/>
      </c:barChart>
      <c:catAx>
        <c:axId val="27044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443320"/>
        <c:crosses val="autoZero"/>
        <c:auto val="1"/>
        <c:lblAlgn val="ctr"/>
        <c:lblOffset val="100"/>
        <c:noMultiLvlLbl val="0"/>
      </c:catAx>
      <c:valAx>
        <c:axId val="2704433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4429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1.4500000000000001E-2</c:v>
                </c:pt>
                <c:pt idx="7">
                  <c:v>2.0000000000000001E-4</c:v>
                </c:pt>
                <c:pt idx="8">
                  <c:v>2.8999999999999998E-3</c:v>
                </c:pt>
                <c:pt idx="9">
                  <c:v>3.0999999999999999E-3</c:v>
                </c:pt>
                <c:pt idx="10">
                  <c:v>0</c:v>
                </c:pt>
                <c:pt idx="11">
                  <c:v>2.0000000000000001E-4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370240"/>
        <c:axId val="286370632"/>
      </c:lineChart>
      <c:catAx>
        <c:axId val="286370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70632"/>
        <c:crosses val="autoZero"/>
        <c:auto val="1"/>
        <c:lblAlgn val="ctr"/>
        <c:lblOffset val="100"/>
        <c:noMultiLvlLbl val="0"/>
      </c:catAx>
      <c:valAx>
        <c:axId val="2863706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702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0.25</c:v>
                </c:pt>
                <c:pt idx="1">
                  <c:v>0.20419999999999999</c:v>
                </c:pt>
                <c:pt idx="2">
                  <c:v>0</c:v>
                </c:pt>
                <c:pt idx="3">
                  <c:v>1E-3</c:v>
                </c:pt>
                <c:pt idx="4">
                  <c:v>5.0500000000000003E-2</c:v>
                </c:pt>
                <c:pt idx="5">
                  <c:v>1.5E-3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371416"/>
        <c:axId val="286371808"/>
      </c:lineChart>
      <c:catAx>
        <c:axId val="286371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71808"/>
        <c:crosses val="autoZero"/>
        <c:auto val="1"/>
        <c:lblAlgn val="ctr"/>
        <c:lblOffset val="100"/>
        <c:noMultiLvlLbl val="0"/>
      </c:catAx>
      <c:valAx>
        <c:axId val="2863718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714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372592"/>
        <c:axId val="286377256"/>
      </c:lineChart>
      <c:catAx>
        <c:axId val="28637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77256"/>
        <c:crosses val="autoZero"/>
        <c:auto val="1"/>
        <c:lblAlgn val="ctr"/>
        <c:lblOffset val="100"/>
        <c:noMultiLvlLbl val="0"/>
      </c:catAx>
      <c:valAx>
        <c:axId val="2863772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725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0.875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378040"/>
        <c:axId val="286378432"/>
      </c:lineChart>
      <c:catAx>
        <c:axId val="286378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78432"/>
        <c:crosses val="autoZero"/>
        <c:auto val="1"/>
        <c:lblAlgn val="ctr"/>
        <c:lblOffset val="100"/>
        <c:noMultiLvlLbl val="0"/>
      </c:catAx>
      <c:valAx>
        <c:axId val="2863784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780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0.25042933902037773</c:v>
                </c:pt>
                <c:pt idx="5" formatCode="0.00%">
                  <c:v>0.28034978707966429</c:v>
                </c:pt>
                <c:pt idx="8" formatCode="0.00%">
                  <c:v>0.29698950105958316</c:v>
                </c:pt>
                <c:pt idx="11" formatCode="0.00%">
                  <c:v>0.29578755700432569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379216"/>
        <c:axId val="286379608"/>
      </c:barChart>
      <c:catAx>
        <c:axId val="28637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79608"/>
        <c:crosses val="autoZero"/>
        <c:auto val="1"/>
        <c:lblAlgn val="ctr"/>
        <c:lblOffset val="100"/>
        <c:noMultiLvlLbl val="0"/>
      </c:catAx>
      <c:valAx>
        <c:axId val="28637960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792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380392"/>
        <c:axId val="286380784"/>
      </c:barChart>
      <c:catAx>
        <c:axId val="286380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80784"/>
        <c:crosses val="autoZero"/>
        <c:auto val="1"/>
        <c:lblAlgn val="ctr"/>
        <c:lblOffset val="100"/>
        <c:noMultiLvlLbl val="0"/>
      </c:catAx>
      <c:valAx>
        <c:axId val="286380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3803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529.91162222222226</c:v>
                </c:pt>
                <c:pt idx="1">
                  <c:v>478.15595555555558</c:v>
                </c:pt>
                <c:pt idx="2">
                  <c:v>515.22086167800455</c:v>
                </c:pt>
                <c:pt idx="3">
                  <c:v>521.78058536585365</c:v>
                </c:pt>
                <c:pt idx="4">
                  <c:v>589.27991008045433</c:v>
                </c:pt>
                <c:pt idx="5">
                  <c:v>583.92347262376791</c:v>
                </c:pt>
                <c:pt idx="6">
                  <c:v>538.65562534759692</c:v>
                </c:pt>
                <c:pt idx="7">
                  <c:v>122.2594939271255</c:v>
                </c:pt>
                <c:pt idx="8">
                  <c:v>480.97602693602698</c:v>
                </c:pt>
                <c:pt idx="9">
                  <c:v>487.75582763045333</c:v>
                </c:pt>
                <c:pt idx="10">
                  <c:v>476.197724665392</c:v>
                </c:pt>
                <c:pt idx="11">
                  <c:v>212.47264437689967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086896"/>
        <c:axId val="277087288"/>
      </c:lineChart>
      <c:catAx>
        <c:axId val="2770868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087288"/>
        <c:crosses val="autoZero"/>
        <c:auto val="1"/>
        <c:lblAlgn val="ctr"/>
        <c:lblOffset val="100"/>
        <c:noMultiLvlLbl val="0"/>
      </c:catAx>
      <c:valAx>
        <c:axId val="277087288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0868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0.54556620680093026</c:v>
                </c:pt>
                <c:pt idx="5">
                  <c:v>0.53348404461020238</c:v>
                </c:pt>
                <c:pt idx="8">
                  <c:v>0.57457218390208276</c:v>
                </c:pt>
                <c:pt idx="11">
                  <c:v>0.59132962065451167</c:v>
                </c:pt>
              </c:numCache>
            </c:numRef>
          </c:val>
        </c:ser>
        <c:ser>
          <c:idx val="1"/>
          <c:order val="1"/>
          <c:tx>
            <c:v>NIVEL REFERENCIA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088072"/>
        <c:axId val="277088464"/>
      </c:barChart>
      <c:catAx>
        <c:axId val="277088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088464"/>
        <c:crosses val="autoZero"/>
        <c:auto val="1"/>
        <c:lblAlgn val="ctr"/>
        <c:lblOffset val="100"/>
        <c:noMultiLvlLbl val="0"/>
      </c:catAx>
      <c:valAx>
        <c:axId val="2770884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0880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101.38</c:v>
                </c:pt>
                <c:pt idx="1">
                  <c:v>100.13</c:v>
                </c:pt>
                <c:pt idx="2">
                  <c:v>100.68</c:v>
                </c:pt>
                <c:pt idx="3">
                  <c:v>101.2</c:v>
                </c:pt>
                <c:pt idx="4">
                  <c:v>101.37</c:v>
                </c:pt>
                <c:pt idx="5">
                  <c:v>101</c:v>
                </c:pt>
                <c:pt idx="6">
                  <c:v>101</c:v>
                </c:pt>
                <c:pt idx="7">
                  <c:v>102</c:v>
                </c:pt>
                <c:pt idx="8">
                  <c:v>100.1</c:v>
                </c:pt>
                <c:pt idx="9">
                  <c:v>106</c:v>
                </c:pt>
                <c:pt idx="10">
                  <c:v>103</c:v>
                </c:pt>
                <c:pt idx="11">
                  <c:v>100.25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089248"/>
        <c:axId val="277089640"/>
      </c:lineChart>
      <c:catAx>
        <c:axId val="277089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089640"/>
        <c:crosses val="autoZero"/>
        <c:auto val="1"/>
        <c:lblAlgn val="ctr"/>
        <c:lblOffset val="100"/>
        <c:noMultiLvlLbl val="0"/>
      </c:catAx>
      <c:valAx>
        <c:axId val="27708964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0892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88</c:v>
                </c:pt>
                <c:pt idx="1">
                  <c:v>121</c:v>
                </c:pt>
                <c:pt idx="2">
                  <c:v>114</c:v>
                </c:pt>
                <c:pt idx="3">
                  <c:v>157</c:v>
                </c:pt>
                <c:pt idx="4">
                  <c:v>172</c:v>
                </c:pt>
                <c:pt idx="5">
                  <c:v>189</c:v>
                </c:pt>
                <c:pt idx="6">
                  <c:v>212</c:v>
                </c:pt>
                <c:pt idx="7">
                  <c:v>52</c:v>
                </c:pt>
                <c:pt idx="8">
                  <c:v>216</c:v>
                </c:pt>
                <c:pt idx="9">
                  <c:v>160.32</c:v>
                </c:pt>
                <c:pt idx="10">
                  <c:v>198.74</c:v>
                </c:pt>
                <c:pt idx="11">
                  <c:v>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26112"/>
        <c:axId val="289526504"/>
      </c:lineChart>
      <c:catAx>
        <c:axId val="289526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9526504"/>
        <c:crosses val="autoZero"/>
        <c:auto val="1"/>
        <c:lblAlgn val="ctr"/>
        <c:lblOffset val="100"/>
        <c:noMultiLvlLbl val="0"/>
      </c:catAx>
      <c:valAx>
        <c:axId val="28952650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5261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65"/>
          <c:y val="0.43737505539082966"/>
          <c:w val="0.24606008917866906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(LINARES)'!$C$68:$N$68</c:f>
              <c:numCache>
                <c:formatCode>0.00</c:formatCode>
                <c:ptCount val="12"/>
                <c:pt idx="2" formatCode="0.00%">
                  <c:v>0.78833884420331024</c:v>
                </c:pt>
                <c:pt idx="5" formatCode="0.00%">
                  <c:v>0.82115489870882818</c:v>
                </c:pt>
                <c:pt idx="8" formatCode="0.00%">
                  <c:v>0.82414525024723229</c:v>
                </c:pt>
                <c:pt idx="11" formatCode="0.00%">
                  <c:v>0.87164125334286768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(LINARES)'!$C$69:$N$69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444104"/>
        <c:axId val="251850304"/>
      </c:barChart>
      <c:catAx>
        <c:axId val="270444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1850304"/>
        <c:crosses val="autoZero"/>
        <c:auto val="1"/>
        <c:lblAlgn val="ctr"/>
        <c:lblOffset val="100"/>
        <c:noMultiLvlLbl val="0"/>
      </c:catAx>
      <c:valAx>
        <c:axId val="25185030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444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561"/>
          <c:y val="0.16033220495079661"/>
          <c:w val="0.14411239192643824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27288"/>
        <c:axId val="289527680"/>
      </c:lineChart>
      <c:catAx>
        <c:axId val="289527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9527680"/>
        <c:crosses val="autoZero"/>
        <c:auto val="1"/>
        <c:lblAlgn val="ctr"/>
        <c:lblOffset val="100"/>
        <c:noMultiLvlLbl val="0"/>
      </c:catAx>
      <c:valAx>
        <c:axId val="28952768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52728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16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#,##0.00\ _€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#,##0.00\ _€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89528464"/>
        <c:axId val="289528856"/>
      </c:bubbleChart>
      <c:valAx>
        <c:axId val="289528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528856"/>
        <c:crosses val="autoZero"/>
        <c:crossBetween val="midCat"/>
      </c:valAx>
      <c:valAx>
        <c:axId val="289528856"/>
        <c:scaling>
          <c:orientation val="minMax"/>
        </c:scaling>
        <c:delete val="0"/>
        <c:axPos val="l"/>
        <c:majorGridlines/>
        <c:numFmt formatCode="#,##0.00\ _€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528464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19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0.92</c:v>
                </c:pt>
                <c:pt idx="1">
                  <c:v>0.92</c:v>
                </c:pt>
                <c:pt idx="2">
                  <c:v>0.91</c:v>
                </c:pt>
                <c:pt idx="3">
                  <c:v>0.9</c:v>
                </c:pt>
                <c:pt idx="4">
                  <c:v>0.93</c:v>
                </c:pt>
                <c:pt idx="5">
                  <c:v>0.86</c:v>
                </c:pt>
                <c:pt idx="6">
                  <c:v>0.88</c:v>
                </c:pt>
                <c:pt idx="7">
                  <c:v>0.95</c:v>
                </c:pt>
                <c:pt idx="8">
                  <c:v>0.86</c:v>
                </c:pt>
                <c:pt idx="9">
                  <c:v>0.91</c:v>
                </c:pt>
                <c:pt idx="10">
                  <c:v>0.92</c:v>
                </c:pt>
                <c:pt idx="11">
                  <c:v>0.89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766360"/>
        <c:axId val="289766752"/>
      </c:lineChart>
      <c:catAx>
        <c:axId val="289766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9766752"/>
        <c:crosses val="autoZero"/>
        <c:auto val="1"/>
        <c:lblAlgn val="ctr"/>
        <c:lblOffset val="100"/>
        <c:noMultiLvlLbl val="0"/>
      </c:catAx>
      <c:valAx>
        <c:axId val="28976675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7663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(LINARES)'!$B$93</c:f>
              <c:strCache>
                <c:ptCount val="1"/>
                <c:pt idx="0">
                  <c:v>PLANIFICADO FRENTE A PRODUCIDO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(LINARES)'!$C$93:$N$93</c:f>
              <c:numCache>
                <c:formatCode>0%</c:formatCode>
                <c:ptCount val="12"/>
                <c:pt idx="0">
                  <c:v>0.9</c:v>
                </c:pt>
                <c:pt idx="1">
                  <c:v>0.91</c:v>
                </c:pt>
                <c:pt idx="2">
                  <c:v>0.93</c:v>
                </c:pt>
                <c:pt idx="3">
                  <c:v>0.9</c:v>
                </c:pt>
                <c:pt idx="4">
                  <c:v>0.95</c:v>
                </c:pt>
                <c:pt idx="5">
                  <c:v>0.95</c:v>
                </c:pt>
                <c:pt idx="6">
                  <c:v>1.1000000000000001</c:v>
                </c:pt>
                <c:pt idx="7">
                  <c:v>1</c:v>
                </c:pt>
                <c:pt idx="8">
                  <c:v>1.1000000000000001</c:v>
                </c:pt>
                <c:pt idx="9">
                  <c:v>0.92</c:v>
                </c:pt>
                <c:pt idx="10">
                  <c:v>0.93</c:v>
                </c:pt>
                <c:pt idx="11">
                  <c:v>0.91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(LINARES)'!$B$95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(LINARES)'!$C$95:$N$95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767536"/>
        <c:axId val="289767928"/>
      </c:lineChart>
      <c:catAx>
        <c:axId val="289767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9767928"/>
        <c:crosses val="autoZero"/>
        <c:auto val="1"/>
        <c:lblAlgn val="ctr"/>
        <c:lblOffset val="100"/>
        <c:noMultiLvlLbl val="0"/>
      </c:catAx>
      <c:valAx>
        <c:axId val="28976792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76753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(LINARES)'!$B$105</c:f>
              <c:strCache>
                <c:ptCount val="1"/>
                <c:pt idx="0">
                  <c:v>HORAS PERDIDAS EN PLANIFICACION POR R.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(LINARES)'!$C$104:$N$104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(LINARES)'!$C$105:$N$105</c:f>
              <c:numCache>
                <c:formatCode>0.00</c:formatCode>
                <c:ptCount val="12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40.700000000000003</c:v>
                </c:pt>
                <c:pt idx="4">
                  <c:v>38.5</c:v>
                </c:pt>
                <c:pt idx="5">
                  <c:v>12.1</c:v>
                </c:pt>
                <c:pt idx="6">
                  <c:v>12.34</c:v>
                </c:pt>
                <c:pt idx="7">
                  <c:v>0.23</c:v>
                </c:pt>
                <c:pt idx="8">
                  <c:v>5.15</c:v>
                </c:pt>
                <c:pt idx="9">
                  <c:v>19.27</c:v>
                </c:pt>
                <c:pt idx="10">
                  <c:v>7.53</c:v>
                </c:pt>
                <c:pt idx="11">
                  <c:v>7.47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(LINARES)'!$B$107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(LINARES)'!$C$104:$N$104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(LINARES)'!$C$107:$N$107</c:f>
              <c:numCache>
                <c:formatCode>0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768712"/>
        <c:axId val="289769104"/>
      </c:lineChart>
      <c:catAx>
        <c:axId val="289768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9769104"/>
        <c:crosses val="autoZero"/>
        <c:auto val="1"/>
        <c:lblAlgn val="ctr"/>
        <c:lblOffset val="100"/>
        <c:noMultiLvlLbl val="0"/>
      </c:catAx>
      <c:valAx>
        <c:axId val="28976910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7687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(LINARES)'!$B$117</c:f>
              <c:strCache>
                <c:ptCount val="1"/>
                <c:pt idx="0">
                  <c:v>NIVEL DE ENTREGA O TAS SERVICIO GESTAMP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(LINARES)'!$C$117:$N$117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(LINARES)'!$B$118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(LINARES)'!$C$118:$N$118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769888"/>
        <c:axId val="289672136"/>
      </c:lineChart>
      <c:catAx>
        <c:axId val="289769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9672136"/>
        <c:crosses val="autoZero"/>
        <c:auto val="1"/>
        <c:lblAlgn val="ctr"/>
        <c:lblOffset val="100"/>
        <c:noMultiLvlLbl val="0"/>
      </c:catAx>
      <c:valAx>
        <c:axId val="28967213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76988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(LINARES)'!$B$127</c:f>
              <c:strCache>
                <c:ptCount val="1"/>
                <c:pt idx="0">
                  <c:v>NIVEL DE ENTREGA O TAS SERVICIO OTROS CLIENTES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(LINARES)'!$C$126:$N$126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(LINARES)'!$C$127:$N$127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(LINARES)'!$B$128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(LINARES)'!$C$126:$N$126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(LINARES)'!$C$128:$N$128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672920"/>
        <c:axId val="289673312"/>
      </c:lineChart>
      <c:catAx>
        <c:axId val="289672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9673312"/>
        <c:crosses val="autoZero"/>
        <c:auto val="1"/>
        <c:lblAlgn val="ctr"/>
        <c:lblOffset val="100"/>
        <c:noMultiLvlLbl val="0"/>
      </c:catAx>
      <c:valAx>
        <c:axId val="28967331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67292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529.91162222222226</c:v>
                </c:pt>
                <c:pt idx="1">
                  <c:v>478.15595555555558</c:v>
                </c:pt>
                <c:pt idx="2">
                  <c:v>515.22086167800455</c:v>
                </c:pt>
                <c:pt idx="3">
                  <c:v>521.78058536585365</c:v>
                </c:pt>
                <c:pt idx="4">
                  <c:v>589.27991008045433</c:v>
                </c:pt>
                <c:pt idx="5">
                  <c:v>583.92347262376791</c:v>
                </c:pt>
                <c:pt idx="6">
                  <c:v>538.65562534759692</c:v>
                </c:pt>
                <c:pt idx="7">
                  <c:v>122.2594939271255</c:v>
                </c:pt>
                <c:pt idx="8">
                  <c:v>480.97602693602698</c:v>
                </c:pt>
                <c:pt idx="9">
                  <c:v>487.75582763045333</c:v>
                </c:pt>
                <c:pt idx="10">
                  <c:v>476.197724665392</c:v>
                </c:pt>
                <c:pt idx="11">
                  <c:v>212.47264437689967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674488"/>
        <c:axId val="289674880"/>
      </c:lineChart>
      <c:catAx>
        <c:axId val="2896744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674880"/>
        <c:crosses val="autoZero"/>
        <c:auto val="1"/>
        <c:lblAlgn val="ctr"/>
        <c:lblOffset val="100"/>
        <c:noMultiLvlLbl val="0"/>
      </c:catAx>
      <c:valAx>
        <c:axId val="289674880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6744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0.54556620680093026</c:v>
                </c:pt>
                <c:pt idx="5">
                  <c:v>0.53348404461020238</c:v>
                </c:pt>
                <c:pt idx="8">
                  <c:v>0.57457218390208276</c:v>
                </c:pt>
                <c:pt idx="11">
                  <c:v>0.59132962065451167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0.6</c:v>
                </c:pt>
                <c:pt idx="11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675664"/>
        <c:axId val="292501760"/>
      </c:lineChart>
      <c:catAx>
        <c:axId val="28967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2501760"/>
        <c:crosses val="autoZero"/>
        <c:auto val="1"/>
        <c:lblAlgn val="ctr"/>
        <c:lblOffset val="100"/>
        <c:noMultiLvlLbl val="0"/>
      </c:catAx>
      <c:valAx>
        <c:axId val="2925017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675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101.38</c:v>
                </c:pt>
                <c:pt idx="1">
                  <c:v>100.13</c:v>
                </c:pt>
                <c:pt idx="2">
                  <c:v>100.68</c:v>
                </c:pt>
                <c:pt idx="3">
                  <c:v>101.2</c:v>
                </c:pt>
                <c:pt idx="4">
                  <c:v>101.37</c:v>
                </c:pt>
                <c:pt idx="5">
                  <c:v>101</c:v>
                </c:pt>
                <c:pt idx="6">
                  <c:v>101</c:v>
                </c:pt>
                <c:pt idx="7">
                  <c:v>102</c:v>
                </c:pt>
                <c:pt idx="8">
                  <c:v>100.1</c:v>
                </c:pt>
                <c:pt idx="9">
                  <c:v>106</c:v>
                </c:pt>
                <c:pt idx="10">
                  <c:v>103</c:v>
                </c:pt>
                <c:pt idx="11">
                  <c:v>100.25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502544"/>
        <c:axId val="292502936"/>
      </c:lineChart>
      <c:catAx>
        <c:axId val="29250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2502936"/>
        <c:crosses val="autoZero"/>
        <c:auto val="1"/>
        <c:lblAlgn val="ctr"/>
        <c:lblOffset val="100"/>
        <c:noMultiLvlLbl val="0"/>
      </c:catAx>
      <c:valAx>
        <c:axId val="29250293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25025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(LINARES)'!$C$75</c:f>
              <c:numCache>
                <c:formatCode>0.00%</c:formatCode>
                <c:ptCount val="1"/>
                <c:pt idx="0">
                  <c:v>9.1899999999999996E-2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(LINARES)'!$C$76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0442536"/>
        <c:axId val="270442144"/>
        <c:axId val="0"/>
      </c:bar3DChart>
      <c:catAx>
        <c:axId val="270442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442144"/>
        <c:crosses val="autoZero"/>
        <c:auto val="1"/>
        <c:lblAlgn val="ctr"/>
        <c:lblOffset val="100"/>
        <c:noMultiLvlLbl val="0"/>
      </c:catAx>
      <c:valAx>
        <c:axId val="2704421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4425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88</c:v>
                </c:pt>
                <c:pt idx="1">
                  <c:v>121</c:v>
                </c:pt>
                <c:pt idx="2">
                  <c:v>114</c:v>
                </c:pt>
                <c:pt idx="3">
                  <c:v>157</c:v>
                </c:pt>
                <c:pt idx="4">
                  <c:v>172</c:v>
                </c:pt>
                <c:pt idx="5">
                  <c:v>189</c:v>
                </c:pt>
                <c:pt idx="6">
                  <c:v>212</c:v>
                </c:pt>
                <c:pt idx="7">
                  <c:v>52</c:v>
                </c:pt>
                <c:pt idx="8">
                  <c:v>216</c:v>
                </c:pt>
                <c:pt idx="9">
                  <c:v>160.32</c:v>
                </c:pt>
                <c:pt idx="10">
                  <c:v>198.74</c:v>
                </c:pt>
                <c:pt idx="11">
                  <c:v>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503720"/>
        <c:axId val="292504112"/>
      </c:lineChart>
      <c:catAx>
        <c:axId val="292503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92504112"/>
        <c:crosses val="autoZero"/>
        <c:auto val="1"/>
        <c:lblAlgn val="ctr"/>
        <c:lblOffset val="100"/>
        <c:noMultiLvlLbl val="0"/>
      </c:catAx>
      <c:valAx>
        <c:axId val="29250411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250372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255E-2"/>
          <c:y val="4.8708840520687205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504896"/>
        <c:axId val="292505288"/>
      </c:lineChart>
      <c:catAx>
        <c:axId val="29250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92505288"/>
        <c:crosses val="autoZero"/>
        <c:auto val="1"/>
        <c:lblAlgn val="ctr"/>
        <c:lblOffset val="100"/>
        <c:noMultiLvlLbl val="0"/>
      </c:catAx>
      <c:valAx>
        <c:axId val="29250528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250489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227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#,##0.00\ _€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#,##0.00\ _€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92506072"/>
        <c:axId val="292506464"/>
      </c:bubbleChart>
      <c:valAx>
        <c:axId val="292506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2506464"/>
        <c:crosses val="autoZero"/>
        <c:crossBetween val="midCat"/>
      </c:valAx>
      <c:valAx>
        <c:axId val="292506464"/>
        <c:scaling>
          <c:orientation val="minMax"/>
        </c:scaling>
        <c:delete val="0"/>
        <c:axPos val="l"/>
        <c:majorGridlines/>
        <c:numFmt formatCode="#,##0.00\ _€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2506072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63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0.92</c:v>
                </c:pt>
                <c:pt idx="1">
                  <c:v>0.92</c:v>
                </c:pt>
                <c:pt idx="2">
                  <c:v>0.91</c:v>
                </c:pt>
                <c:pt idx="3">
                  <c:v>0.9</c:v>
                </c:pt>
                <c:pt idx="4">
                  <c:v>0.93</c:v>
                </c:pt>
                <c:pt idx="5">
                  <c:v>0.86</c:v>
                </c:pt>
                <c:pt idx="6">
                  <c:v>0.88</c:v>
                </c:pt>
                <c:pt idx="7">
                  <c:v>0.95</c:v>
                </c:pt>
                <c:pt idx="8">
                  <c:v>0.86</c:v>
                </c:pt>
                <c:pt idx="9">
                  <c:v>0.91</c:v>
                </c:pt>
                <c:pt idx="10">
                  <c:v>0.92</c:v>
                </c:pt>
                <c:pt idx="11">
                  <c:v>0.89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507248"/>
        <c:axId val="292507640"/>
      </c:lineChart>
      <c:catAx>
        <c:axId val="292507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92507640"/>
        <c:crosses val="autoZero"/>
        <c:auto val="1"/>
        <c:lblAlgn val="ctr"/>
        <c:lblOffset val="100"/>
        <c:noMultiLvlLbl val="0"/>
      </c:catAx>
      <c:valAx>
        <c:axId val="29250764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250724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6186.04</c:v>
                </c:pt>
                <c:pt idx="1">
                  <c:v>4237.92</c:v>
                </c:pt>
                <c:pt idx="2">
                  <c:v>2688.36</c:v>
                </c:pt>
                <c:pt idx="3">
                  <c:v>2700.48</c:v>
                </c:pt>
                <c:pt idx="4">
                  <c:v>4903.58</c:v>
                </c:pt>
                <c:pt idx="5">
                  <c:v>4750.5</c:v>
                </c:pt>
                <c:pt idx="6">
                  <c:v>8476.02</c:v>
                </c:pt>
                <c:pt idx="7">
                  <c:v>3244</c:v>
                </c:pt>
                <c:pt idx="8">
                  <c:v>9582.57</c:v>
                </c:pt>
                <c:pt idx="9">
                  <c:v>6083</c:v>
                </c:pt>
                <c:pt idx="10">
                  <c:v>3768</c:v>
                </c:pt>
                <c:pt idx="11">
                  <c:v>3576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508816"/>
        <c:axId val="292509208"/>
      </c:lineChart>
      <c:catAx>
        <c:axId val="292508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2509208"/>
        <c:crosses val="autoZero"/>
        <c:auto val="1"/>
        <c:lblAlgn val="ctr"/>
        <c:lblOffset val="100"/>
        <c:noMultiLvlLbl val="0"/>
      </c:catAx>
      <c:valAx>
        <c:axId val="29250920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2508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37"/>
          <c:h val="0.45786168532364907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479784"/>
        <c:axId val="276480176"/>
      </c:lineChart>
      <c:catAx>
        <c:axId val="276479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0176"/>
        <c:crosses val="autoZero"/>
        <c:auto val="1"/>
        <c:lblAlgn val="ctr"/>
        <c:lblOffset val="100"/>
        <c:noMultiLvlLbl val="0"/>
      </c:catAx>
      <c:valAx>
        <c:axId val="2764801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797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8.957468505335249E-3</c:v>
                </c:pt>
                <c:pt idx="1">
                  <c:v>1.7534074656627607E-2</c:v>
                </c:pt>
                <c:pt idx="2">
                  <c:v>1.2995969650183944E-2</c:v>
                </c:pt>
                <c:pt idx="3">
                  <c:v>7.3642299136671037E-3</c:v>
                </c:pt>
                <c:pt idx="4">
                  <c:v>4.45713922705361E-3</c:v>
                </c:pt>
                <c:pt idx="5">
                  <c:v>1.0956573966037013E-2</c:v>
                </c:pt>
                <c:pt idx="6">
                  <c:v>3.0395072628376416E-2</c:v>
                </c:pt>
                <c:pt idx="7">
                  <c:v>1.0388403639368641E-2</c:v>
                </c:pt>
                <c:pt idx="8">
                  <c:v>3.354070020919863E-2</c:v>
                </c:pt>
                <c:pt idx="9">
                  <c:v>1.7472753344071779E-2</c:v>
                </c:pt>
                <c:pt idx="10">
                  <c:v>1.8112726203798644E-2</c:v>
                </c:pt>
                <c:pt idx="11">
                  <c:v>2.4919715159355045E-2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80960"/>
        <c:axId val="276481352"/>
      </c:barChart>
      <c:catAx>
        <c:axId val="27648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1352"/>
        <c:crosses val="autoZero"/>
        <c:auto val="1"/>
        <c:lblAlgn val="ctr"/>
        <c:lblOffset val="100"/>
        <c:noMultiLvlLbl val="0"/>
      </c:catAx>
      <c:valAx>
        <c:axId val="2764813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09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(LINARES)'!$C$48:$N$48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(LINARES)'!$C$49:$N$49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82136"/>
        <c:axId val="276482528"/>
      </c:barChart>
      <c:catAx>
        <c:axId val="276482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2528"/>
        <c:crosses val="autoZero"/>
        <c:auto val="1"/>
        <c:lblAlgn val="ctr"/>
        <c:lblOffset val="100"/>
        <c:noMultiLvlLbl val="0"/>
      </c:catAx>
      <c:valAx>
        <c:axId val="276482528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21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(LINARES)'!$C$58:$N$58</c:f>
              <c:numCache>
                <c:formatCode>0.00;[Red]0.00</c:formatCode>
                <c:ptCount val="12"/>
                <c:pt idx="0">
                  <c:v>6.25E-2</c:v>
                </c:pt>
                <c:pt idx="1">
                  <c:v>7.03125E-2</c:v>
                </c:pt>
                <c:pt idx="2">
                  <c:v>0.203125</c:v>
                </c:pt>
                <c:pt idx="3">
                  <c:v>0.109375</c:v>
                </c:pt>
                <c:pt idx="4">
                  <c:v>0.140625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7.8125E-3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0.00;[Red]0.00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83312"/>
        <c:axId val="276483704"/>
      </c:barChart>
      <c:catAx>
        <c:axId val="27648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3704"/>
        <c:crosses val="autoZero"/>
        <c:auto val="1"/>
        <c:lblAlgn val="ctr"/>
        <c:lblOffset val="100"/>
        <c:noMultiLvlLbl val="0"/>
      </c:catAx>
      <c:valAx>
        <c:axId val="276483704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3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3997"/>
          <c:h val="0.3195376678020775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(LINARES)'!$C$65:$N$65</c:f>
              <c:numCache>
                <c:formatCode>0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11</c:v>
                </c:pt>
                <c:pt idx="6">
                  <c:v>7</c:v>
                </c:pt>
                <c:pt idx="7">
                  <c:v>0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(LINARES)'!$C$66:$N$66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484488"/>
        <c:axId val="276484880"/>
      </c:lineChart>
      <c:catAx>
        <c:axId val="276484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4880"/>
        <c:crosses val="autoZero"/>
        <c:auto val="1"/>
        <c:lblAlgn val="ctr"/>
        <c:lblOffset val="100"/>
        <c:noMultiLvlLbl val="0"/>
      </c:catAx>
      <c:valAx>
        <c:axId val="2764848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44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(LINARES)'!$B$49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(LINARES)'!$C$46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(LINARES)'!$C$49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(LINARES)'!$B$50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(LINARES)'!$C$46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(LINARES)'!$C$50</c:f>
              <c:numCache>
                <c:formatCode>0%</c:formatCode>
                <c:ptCount val="1"/>
                <c:pt idx="0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441360"/>
        <c:axId val="251851088"/>
      </c:barChart>
      <c:catAx>
        <c:axId val="27044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1851088"/>
        <c:crosses val="autoZero"/>
        <c:auto val="1"/>
        <c:lblAlgn val="ctr"/>
        <c:lblOffset val="100"/>
        <c:noMultiLvlLbl val="0"/>
      </c:catAx>
      <c:valAx>
        <c:axId val="2518510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04413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85664"/>
        <c:axId val="276486056"/>
      </c:barChart>
      <c:catAx>
        <c:axId val="27648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6056"/>
        <c:crosses val="autoZero"/>
        <c:auto val="1"/>
        <c:lblAlgn val="ctr"/>
        <c:lblOffset val="100"/>
        <c:noMultiLvlLbl val="0"/>
      </c:catAx>
      <c:valAx>
        <c:axId val="2764860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5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'JNL-MCG AÑO (LINARES)'!$B$108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(LINARES)'!$C$108:$N$108</c:f>
              <c:numCache>
                <c:formatCode>0.00</c:formatCode>
                <c:ptCount val="12"/>
                <c:pt idx="0">
                  <c:v>1.45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3.5</c:v>
                </c:pt>
                <c:pt idx="5">
                  <c:v>4.18</c:v>
                </c:pt>
                <c:pt idx="6">
                  <c:v>3.25</c:v>
                </c:pt>
                <c:pt idx="7">
                  <c:v>0</c:v>
                </c:pt>
                <c:pt idx="8">
                  <c:v>5.3</c:v>
                </c:pt>
                <c:pt idx="9">
                  <c:v>3.42</c:v>
                </c:pt>
                <c:pt idx="10">
                  <c:v>3.5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'JNL-MCG AÑO (LINARES)'!$B$109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(LINARES)'!$C$109:$N$109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86840"/>
        <c:axId val="2965156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(LINARES)'!$B$107</c15:sqref>
                        </c15:formulaRef>
                      </c:ext>
                    </c:extLst>
                    <c:strCache>
                      <c:ptCount val="1"/>
                      <c:pt idx="0">
                        <c:v>Nº DE HORAS CON PARADA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(LINARES)'!$C$106:$N$106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(LINARES)'!$C$107:$N$107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1.45</c:v>
                      </c:pt>
                      <c:pt idx="1">
                        <c:v>2</c:v>
                      </c:pt>
                      <c:pt idx="2">
                        <c:v>1</c:v>
                      </c:pt>
                      <c:pt idx="3">
                        <c:v>0.5</c:v>
                      </c:pt>
                      <c:pt idx="4">
                        <c:v>3.5</c:v>
                      </c:pt>
                      <c:pt idx="5">
                        <c:v>4.18</c:v>
                      </c:pt>
                      <c:pt idx="6">
                        <c:v>3.25</c:v>
                      </c:pt>
                      <c:pt idx="7">
                        <c:v>0</c:v>
                      </c:pt>
                      <c:pt idx="8">
                        <c:v>5.3</c:v>
                      </c:pt>
                      <c:pt idx="9">
                        <c:v>3.42</c:v>
                      </c:pt>
                      <c:pt idx="10">
                        <c:v>3.5</c:v>
                      </c:pt>
                      <c:pt idx="1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76486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6515608"/>
        <c:crosses val="autoZero"/>
        <c:auto val="1"/>
        <c:lblAlgn val="ctr"/>
        <c:lblOffset val="100"/>
        <c:noMultiLvlLbl val="0"/>
      </c:catAx>
      <c:valAx>
        <c:axId val="2965156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6486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24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6516392"/>
        <c:axId val="296516784"/>
        <c:axId val="0"/>
      </c:bar3DChart>
      <c:catAx>
        <c:axId val="29651639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96516784"/>
        <c:crosses val="autoZero"/>
        <c:auto val="1"/>
        <c:lblAlgn val="ctr"/>
        <c:lblOffset val="100"/>
        <c:noMultiLvlLbl val="0"/>
      </c:catAx>
      <c:valAx>
        <c:axId val="2965167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65163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6517960"/>
        <c:axId val="296518352"/>
        <c:axId val="0"/>
      </c:bar3DChart>
      <c:catAx>
        <c:axId val="29651796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96518352"/>
        <c:crosses val="autoZero"/>
        <c:auto val="1"/>
        <c:lblAlgn val="ctr"/>
        <c:lblOffset val="100"/>
        <c:noMultiLvlLbl val="0"/>
      </c:catAx>
      <c:valAx>
        <c:axId val="2965183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65179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CONTESTACIÓN INCIDENTES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(LINARES)'!$B$118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(LINARES)'!$C$118:$N$118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(LINARES)'!$B$119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(LINARES)'!$C$119:$N$119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518744"/>
        <c:axId val="296519136"/>
      </c:barChart>
      <c:catAx>
        <c:axId val="29651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519136"/>
        <c:crosses val="autoZero"/>
        <c:auto val="1"/>
        <c:lblAlgn val="ctr"/>
        <c:lblOffset val="100"/>
        <c:noMultiLvlLbl val="0"/>
      </c:catAx>
      <c:valAx>
        <c:axId val="29651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51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COPIAS DE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(LINARES)'!$B$128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(LINARES)'!$C$128:$N$128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(LINARES)'!$B$129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(LINARES)'!$C$129:$N$129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6519920"/>
        <c:axId val="296520312"/>
        <c:axId val="0"/>
      </c:bar3DChart>
      <c:catAx>
        <c:axId val="29651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520312"/>
        <c:crosses val="autoZero"/>
        <c:auto val="1"/>
        <c:lblAlgn val="ctr"/>
        <c:lblOffset val="100"/>
        <c:noMultiLvlLbl val="0"/>
      </c:catAx>
      <c:valAx>
        <c:axId val="29652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51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DOCUMENTOS NO CONTROLADOS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(LINARES)'!$C$140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(LINARES)'!$B$141:$B$142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(LINARES)'!$C$141:$C$142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521096"/>
        <c:axId val="296521488"/>
      </c:barChart>
      <c:catAx>
        <c:axId val="296521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521488"/>
        <c:crosses val="autoZero"/>
        <c:auto val="1"/>
        <c:lblAlgn val="ctr"/>
        <c:lblOffset val="100"/>
        <c:noMultiLvlLbl val="0"/>
      </c:catAx>
      <c:valAx>
        <c:axId val="29652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521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VERIFICACIONES INTERNAS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(LINARES)'!$B$153:$B$154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(LINARES)'!$C$153:$C$154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522272"/>
        <c:axId val="296522664"/>
      </c:barChart>
      <c:catAx>
        <c:axId val="29652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522664"/>
        <c:crosses val="autoZero"/>
        <c:auto val="1"/>
        <c:lblAlgn val="ctr"/>
        <c:lblOffset val="100"/>
        <c:noMultiLvlLbl val="0"/>
      </c:catAx>
      <c:valAx>
        <c:axId val="296522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522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ORDENES PLANIFICADAS VS EJECUTADAS EN PLAZO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(LINARES)'!$B$166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(LINARES)'!$C$166:$N$166</c:f>
              <c:numCache>
                <c:formatCode>0.00%</c:formatCode>
                <c:ptCount val="12"/>
                <c:pt idx="0">
                  <c:v>0.53947368421052633</c:v>
                </c:pt>
                <c:pt idx="1">
                  <c:v>0.66891891891891897</c:v>
                </c:pt>
                <c:pt idx="2">
                  <c:v>0.41040462427745666</c:v>
                </c:pt>
                <c:pt idx="3">
                  <c:v>0.38297872340425532</c:v>
                </c:pt>
                <c:pt idx="4">
                  <c:v>0.85185185185185186</c:v>
                </c:pt>
                <c:pt idx="5">
                  <c:v>0.717741935483871</c:v>
                </c:pt>
                <c:pt idx="6">
                  <c:v>0.6071428571428571</c:v>
                </c:pt>
                <c:pt idx="7">
                  <c:v>0.7</c:v>
                </c:pt>
                <c:pt idx="8">
                  <c:v>0.77160493827160492</c:v>
                </c:pt>
                <c:pt idx="9">
                  <c:v>0.81060606060606055</c:v>
                </c:pt>
                <c:pt idx="10">
                  <c:v>0.69811320754716977</c:v>
                </c:pt>
                <c:pt idx="11">
                  <c:v>0.63749999999999996</c:v>
                </c:pt>
              </c:numCache>
            </c:numRef>
          </c:val>
        </c:ser>
        <c:ser>
          <c:idx val="3"/>
          <c:order val="3"/>
          <c:tx>
            <c:strRef>
              <c:f>'JNL-MCG AÑO (LINARES)'!$B$167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(LINARES)'!$C$167:$N$167</c:f>
              <c:numCache>
                <c:formatCode>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060472"/>
        <c:axId val="2970608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(LINARES)'!$B$164</c15:sqref>
                        </c15:formulaRef>
                      </c:ext>
                    </c:extLst>
                    <c:strCache>
                      <c:ptCount val="1"/>
                      <c:pt idx="0">
                        <c:v>Nº ORDENES PLANIFICADAS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(LINARES)'!$C$164:$N$164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152</c:v>
                      </c:pt>
                      <c:pt idx="1">
                        <c:v>148</c:v>
                      </c:pt>
                      <c:pt idx="2">
                        <c:v>173</c:v>
                      </c:pt>
                      <c:pt idx="3">
                        <c:v>141</c:v>
                      </c:pt>
                      <c:pt idx="4">
                        <c:v>108</c:v>
                      </c:pt>
                      <c:pt idx="5">
                        <c:v>124</c:v>
                      </c:pt>
                      <c:pt idx="6">
                        <c:v>140</c:v>
                      </c:pt>
                      <c:pt idx="7">
                        <c:v>40</c:v>
                      </c:pt>
                      <c:pt idx="8">
                        <c:v>162</c:v>
                      </c:pt>
                      <c:pt idx="9">
                        <c:v>132</c:v>
                      </c:pt>
                      <c:pt idx="10">
                        <c:v>106</c:v>
                      </c:pt>
                      <c:pt idx="11">
                        <c:v>80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(LINARES)'!$B$165</c15:sqref>
                        </c15:formulaRef>
                      </c:ext>
                    </c:extLst>
                    <c:strCache>
                      <c:ptCount val="1"/>
                      <c:pt idx="0">
                        <c:v>Nº DE O. EJECUTADAS EN PLAZO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(LINARES)'!$C$165:$N$165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82</c:v>
                      </c:pt>
                      <c:pt idx="1">
                        <c:v>99</c:v>
                      </c:pt>
                      <c:pt idx="2">
                        <c:v>71</c:v>
                      </c:pt>
                      <c:pt idx="3">
                        <c:v>54</c:v>
                      </c:pt>
                      <c:pt idx="4">
                        <c:v>92</c:v>
                      </c:pt>
                      <c:pt idx="5">
                        <c:v>89</c:v>
                      </c:pt>
                      <c:pt idx="6">
                        <c:v>85</c:v>
                      </c:pt>
                      <c:pt idx="7">
                        <c:v>28</c:v>
                      </c:pt>
                      <c:pt idx="8">
                        <c:v>125</c:v>
                      </c:pt>
                      <c:pt idx="9">
                        <c:v>107</c:v>
                      </c:pt>
                      <c:pt idx="10">
                        <c:v>74</c:v>
                      </c:pt>
                      <c:pt idx="11">
                        <c:v>51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9706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060864"/>
        <c:crosses val="autoZero"/>
        <c:auto val="1"/>
        <c:lblAlgn val="ctr"/>
        <c:lblOffset val="100"/>
        <c:noMultiLvlLbl val="0"/>
      </c:catAx>
      <c:valAx>
        <c:axId val="29706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060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CORRECTIVOS DERIVADOS PREVENTIVOS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(LINARES)'!$B$179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(LINARES)'!$C$179:$N$179</c:f>
              <c:numCache>
                <c:formatCode>0.00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'JNL-MCG AÑO (LINARES)'!$B$180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(LINARES)'!$C$180:$N$180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061648"/>
        <c:axId val="2970620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(LINARES)'!$B$177</c15:sqref>
                        </c15:formulaRef>
                      </c:ext>
                    </c:extLst>
                    <c:strCache>
                      <c:ptCount val="1"/>
                      <c:pt idx="0">
                        <c:v>Nº ORDENES PREDICTIVOS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(LINARES)'!$C$177:$N$177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5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6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6</c:v>
                      </c:pt>
                      <c:pt idx="10">
                        <c:v>6</c:v>
                      </c:pt>
                      <c:pt idx="11">
                        <c:v>1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(LINARES)'!$B$178</c15:sqref>
                        </c15:formulaRef>
                      </c:ext>
                    </c:extLst>
                    <c:strCache>
                      <c:ptCount val="1"/>
                      <c:pt idx="0">
                        <c:v>Nº CORRECTIVOS DERIVADOS DE PREDIC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(LINARES)'!$C$178:$N$178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3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9706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062040"/>
        <c:crosses val="autoZero"/>
        <c:auto val="1"/>
        <c:lblAlgn val="ctr"/>
        <c:lblOffset val="100"/>
        <c:noMultiLvlLbl val="0"/>
      </c:catAx>
      <c:valAx>
        <c:axId val="29706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06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(LINARES)'!$B$85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(LINARES)'!$B$86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(LINARES)'!$C$86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51872"/>
        <c:axId val="251852264"/>
        <c:axId val="0"/>
      </c:bar3DChart>
      <c:catAx>
        <c:axId val="25185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1852264"/>
        <c:crosses val="autoZero"/>
        <c:auto val="1"/>
        <c:lblAlgn val="ctr"/>
        <c:lblOffset val="100"/>
        <c:noMultiLvlLbl val="0"/>
      </c:catAx>
      <c:valAx>
        <c:axId val="2518522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18518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(LINARES)'!$B$34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(LINARES)'!$C$30:$N$30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(LINARES)'!$C$34:$N$34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00">
                  <c:v>1.0143515696338002E-4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(LINARES)'!$B$35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'JNL-MCG AÑO (LINARES)'!$C$35:$N$35</c:f>
              <c:numCache>
                <c:formatCode>0.00%</c:formatCode>
                <c:ptCount val="12"/>
                <c:pt idx="0">
                  <c:v>2.5000000000000001E-3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  <c:pt idx="6">
                  <c:v>2.5000000000000001E-3</c:v>
                </c:pt>
                <c:pt idx="7">
                  <c:v>2.5000000000000001E-3</c:v>
                </c:pt>
                <c:pt idx="8">
                  <c:v>2.5000000000000001E-3</c:v>
                </c:pt>
                <c:pt idx="9">
                  <c:v>2.5000000000000001E-3</c:v>
                </c:pt>
                <c:pt idx="10">
                  <c:v>2.5000000000000001E-3</c:v>
                </c:pt>
                <c:pt idx="11">
                  <c:v>2.5000000000000001E-3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62824"/>
        <c:axId val="297063216"/>
      </c:barChart>
      <c:catAx>
        <c:axId val="297062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7063216"/>
        <c:crosses val="autoZero"/>
        <c:auto val="1"/>
        <c:lblAlgn val="ctr"/>
        <c:lblOffset val="100"/>
        <c:noMultiLvlLbl val="0"/>
      </c:catAx>
      <c:valAx>
        <c:axId val="2970632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7062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6186.04</c:v>
                </c:pt>
                <c:pt idx="1">
                  <c:v>4237.92</c:v>
                </c:pt>
                <c:pt idx="2">
                  <c:v>2688.36</c:v>
                </c:pt>
                <c:pt idx="3">
                  <c:v>2700.48</c:v>
                </c:pt>
                <c:pt idx="4">
                  <c:v>4903.58</c:v>
                </c:pt>
                <c:pt idx="5">
                  <c:v>4750.5</c:v>
                </c:pt>
                <c:pt idx="6">
                  <c:v>8476.02</c:v>
                </c:pt>
                <c:pt idx="7">
                  <c:v>3244</c:v>
                </c:pt>
                <c:pt idx="8">
                  <c:v>9582.57</c:v>
                </c:pt>
                <c:pt idx="9">
                  <c:v>6083</c:v>
                </c:pt>
                <c:pt idx="10">
                  <c:v>3768</c:v>
                </c:pt>
                <c:pt idx="11">
                  <c:v>3576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064392"/>
        <c:axId val="297064784"/>
      </c:lineChart>
      <c:catAx>
        <c:axId val="2970643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7064784"/>
        <c:crosses val="autoZero"/>
        <c:auto val="1"/>
        <c:lblAlgn val="ctr"/>
        <c:lblOffset val="100"/>
        <c:noMultiLvlLbl val="0"/>
      </c:catAx>
      <c:valAx>
        <c:axId val="29706478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70643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53" l="0.70866141732288723" r="0.70866141732288723" t="0.7480314960630553" header="0.31496062992129242" footer="0.31496062992129242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54"/>
          <c:h val="0.45786168532364929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065568"/>
        <c:axId val="297065960"/>
      </c:lineChart>
      <c:catAx>
        <c:axId val="29706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7065960"/>
        <c:crosses val="autoZero"/>
        <c:auto val="1"/>
        <c:lblAlgn val="ctr"/>
        <c:lblOffset val="100"/>
        <c:noMultiLvlLbl val="0"/>
      </c:catAx>
      <c:valAx>
        <c:axId val="2970659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7065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8.957468505335249E-3</c:v>
                </c:pt>
                <c:pt idx="1">
                  <c:v>1.7534074656627607E-2</c:v>
                </c:pt>
                <c:pt idx="2">
                  <c:v>1.2995969650183944E-2</c:v>
                </c:pt>
                <c:pt idx="3">
                  <c:v>7.3642299136671037E-3</c:v>
                </c:pt>
                <c:pt idx="4">
                  <c:v>4.45713922705361E-3</c:v>
                </c:pt>
                <c:pt idx="5">
                  <c:v>1.0956573966037013E-2</c:v>
                </c:pt>
                <c:pt idx="6">
                  <c:v>3.0395072628376416E-2</c:v>
                </c:pt>
                <c:pt idx="7">
                  <c:v>1.0388403639368641E-2</c:v>
                </c:pt>
                <c:pt idx="8">
                  <c:v>3.354070020919863E-2</c:v>
                </c:pt>
                <c:pt idx="9">
                  <c:v>1.7472753344071779E-2</c:v>
                </c:pt>
                <c:pt idx="10">
                  <c:v>1.8112726203798644E-2</c:v>
                </c:pt>
                <c:pt idx="11">
                  <c:v>2.4919715159355045E-2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67136"/>
        <c:axId val="297067528"/>
      </c:barChart>
      <c:catAx>
        <c:axId val="29706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7067528"/>
        <c:crosses val="autoZero"/>
        <c:auto val="1"/>
        <c:lblAlgn val="ctr"/>
        <c:lblOffset val="100"/>
        <c:noMultiLvlLbl val="0"/>
      </c:catAx>
      <c:valAx>
        <c:axId val="2970675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70671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(LINARES)'!$C$48:$N$48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(LINARES)'!$C$49:$N$49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67920"/>
        <c:axId val="299542944"/>
      </c:barChart>
      <c:catAx>
        <c:axId val="297067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2944"/>
        <c:crosses val="autoZero"/>
        <c:auto val="1"/>
        <c:lblAlgn val="ctr"/>
        <c:lblOffset val="100"/>
        <c:noMultiLvlLbl val="0"/>
      </c:catAx>
      <c:valAx>
        <c:axId val="299542944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7067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(LINARES)'!$C$58:$N$58</c:f>
              <c:numCache>
                <c:formatCode>0.00;[Red]0.00</c:formatCode>
                <c:ptCount val="12"/>
                <c:pt idx="0">
                  <c:v>6.25E-2</c:v>
                </c:pt>
                <c:pt idx="1">
                  <c:v>7.03125E-2</c:v>
                </c:pt>
                <c:pt idx="2">
                  <c:v>0.203125</c:v>
                </c:pt>
                <c:pt idx="3">
                  <c:v>0.109375</c:v>
                </c:pt>
                <c:pt idx="4">
                  <c:v>0.140625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7.8125E-3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0.00;[Red]0.00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43728"/>
        <c:axId val="299544120"/>
      </c:barChart>
      <c:catAx>
        <c:axId val="299543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4120"/>
        <c:crosses val="autoZero"/>
        <c:auto val="1"/>
        <c:lblAlgn val="ctr"/>
        <c:lblOffset val="100"/>
        <c:noMultiLvlLbl val="0"/>
      </c:catAx>
      <c:valAx>
        <c:axId val="299544120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3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4003"/>
          <c:h val="0.31953766780207776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(LINARES)'!$C$65:$N$65</c:f>
              <c:numCache>
                <c:formatCode>0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11</c:v>
                </c:pt>
                <c:pt idx="6">
                  <c:v>7</c:v>
                </c:pt>
                <c:pt idx="7">
                  <c:v>0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(LINARES)'!$C$66:$N$66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9544904"/>
        <c:axId val="299545296"/>
      </c:lineChart>
      <c:catAx>
        <c:axId val="299544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5296"/>
        <c:crosses val="autoZero"/>
        <c:auto val="1"/>
        <c:lblAlgn val="ctr"/>
        <c:lblOffset val="100"/>
        <c:noMultiLvlLbl val="0"/>
      </c:catAx>
      <c:valAx>
        <c:axId val="2995452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49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46080"/>
        <c:axId val="299546472"/>
      </c:barChart>
      <c:catAx>
        <c:axId val="29954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6472"/>
        <c:crosses val="autoZero"/>
        <c:auto val="1"/>
        <c:lblAlgn val="ctr"/>
        <c:lblOffset val="100"/>
        <c:noMultiLvlLbl val="0"/>
      </c:catAx>
      <c:valAx>
        <c:axId val="2995464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60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(LINARES)'!$B$108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'JNL-MCG AÑO (LINARES)'!$B$109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47256"/>
        <c:axId val="299547648"/>
      </c:barChart>
      <c:catAx>
        <c:axId val="299547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7648"/>
        <c:crosses val="autoZero"/>
        <c:auto val="1"/>
        <c:lblAlgn val="ctr"/>
        <c:lblOffset val="100"/>
        <c:noMultiLvlLbl val="0"/>
      </c:catAx>
      <c:valAx>
        <c:axId val="299547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72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9548432"/>
        <c:axId val="299548824"/>
        <c:axId val="0"/>
      </c:bar3DChart>
      <c:catAx>
        <c:axId val="299548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8824"/>
        <c:crosses val="autoZero"/>
        <c:auto val="1"/>
        <c:lblAlgn val="ctr"/>
        <c:lblOffset val="100"/>
        <c:noMultiLvlLbl val="0"/>
      </c:catAx>
      <c:valAx>
        <c:axId val="2995488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84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(LINARES)'!$B$30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(LINARES)'!$C$26:$N$26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(LINARES)'!$C$30:$N$30</c:f>
              <c:numCache>
                <c:formatCode>General</c:formatCode>
                <c:ptCount val="12"/>
                <c:pt idx="2" formatCode="0.00%">
                  <c:v>0.39414616674115316</c:v>
                </c:pt>
                <c:pt idx="5" formatCode="0.00%">
                  <c:v>0.35199789621764355</c:v>
                </c:pt>
                <c:pt idx="8" formatCode="0.00%">
                  <c:v>0.39498523703997851</c:v>
                </c:pt>
                <c:pt idx="11" formatCode="0.00%">
                  <c:v>0.41983867768208122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(LINARES)'!$B$31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(LINARES)'!$C$26:$N$26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(LINARES)'!$C$31:$N$31</c:f>
              <c:numCache>
                <c:formatCode>0.00</c:formatCode>
                <c:ptCount val="12"/>
                <c:pt idx="2" formatCode="0.00%">
                  <c:v>0.43</c:v>
                </c:pt>
                <c:pt idx="5" formatCode="0.00%">
                  <c:v>0.43</c:v>
                </c:pt>
                <c:pt idx="8" formatCode="0.00%">
                  <c:v>0.43</c:v>
                </c:pt>
                <c:pt idx="11" formatCode="0.00%">
                  <c:v>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853048"/>
        <c:axId val="251853440"/>
      </c:barChart>
      <c:catAx>
        <c:axId val="251853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1853440"/>
        <c:crosses val="autoZero"/>
        <c:auto val="1"/>
        <c:lblAlgn val="ctr"/>
        <c:lblOffset val="100"/>
        <c:noMultiLvlLbl val="0"/>
      </c:catAx>
      <c:valAx>
        <c:axId val="25185344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18530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8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9549608"/>
        <c:axId val="299550000"/>
        <c:axId val="0"/>
      </c:bar3DChart>
      <c:catAx>
        <c:axId val="299549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50000"/>
        <c:crosses val="autoZero"/>
        <c:auto val="1"/>
        <c:lblAlgn val="ctr"/>
        <c:lblOffset val="100"/>
        <c:noMultiLvlLbl val="0"/>
      </c:catAx>
      <c:valAx>
        <c:axId val="2995500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95496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85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401.44819865319863</c:v>
                </c:pt>
                <c:pt idx="1">
                  <c:v>314.11705109489048</c:v>
                </c:pt>
                <c:pt idx="2">
                  <c:v>338.61758569299559</c:v>
                </c:pt>
                <c:pt idx="3">
                  <c:v>334.26568750000001</c:v>
                </c:pt>
                <c:pt idx="4">
                  <c:v>381.59621513944228</c:v>
                </c:pt>
                <c:pt idx="5" formatCode="#,##0.00\ &quot;€&quot;">
                  <c:v>391.30895479187365</c:v>
                </c:pt>
                <c:pt idx="6" formatCode="#,##0.00\ &quot;€&quot;">
                  <c:v>375.98388975155274</c:v>
                </c:pt>
                <c:pt idx="7" formatCode="#,##0.00\ &quot;€&quot;">
                  <c:v>76.693574603174596</c:v>
                </c:pt>
                <c:pt idx="8" formatCode="#,##0.00\ &quot;€&quot;">
                  <c:v>337.30786304604487</c:v>
                </c:pt>
                <c:pt idx="9" formatCode="#,##0.00\ &quot;€&quot;">
                  <c:v>210.24088609802897</c:v>
                </c:pt>
                <c:pt idx="10" formatCode="#,##0.00\ &quot;€&quot;">
                  <c:v>195.53877189654085</c:v>
                </c:pt>
                <c:pt idx="11" formatCode="#,##0.00\ &quot;€&quot;">
                  <c:v>66.489533622559648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593960"/>
        <c:axId val="285594352"/>
      </c:lineChart>
      <c:catAx>
        <c:axId val="285593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285594352"/>
        <c:crosses val="autoZero"/>
        <c:auto val="1"/>
        <c:lblAlgn val="ctr"/>
        <c:lblOffset val="100"/>
        <c:noMultiLvlLbl val="0"/>
      </c:catAx>
      <c:valAx>
        <c:axId val="285594352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55939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76"/>
          <c:w val="0.18471232006758548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60723.23</c:v>
                </c:pt>
                <c:pt idx="1">
                  <c:v>5748.0199999999859</c:v>
                </c:pt>
                <c:pt idx="2">
                  <c:v>70268.270000000019</c:v>
                </c:pt>
                <c:pt idx="3">
                  <c:v>-3593.0200000000086</c:v>
                </c:pt>
                <c:pt idx="4">
                  <c:v>37184.769999999968</c:v>
                </c:pt>
                <c:pt idx="5">
                  <c:v>92431.730000000025</c:v>
                </c:pt>
                <c:pt idx="6" formatCode="#,##0.00\ &quot;€&quot;;[Red]#,##0.00\ &quot;€&quot;">
                  <c:v>53142.069999999992</c:v>
                </c:pt>
                <c:pt idx="7">
                  <c:v>-20804.529999999995</c:v>
                </c:pt>
                <c:pt idx="8">
                  <c:v>72494.370000000024</c:v>
                </c:pt>
                <c:pt idx="9" formatCode="#,##0.00\ &quot;€&quot;;[Red]#,##0.00\ &quot;€&quot;">
                  <c:v>72960.130000000019</c:v>
                </c:pt>
                <c:pt idx="10" formatCode="#,##0.00\ &quot;€&quot;;[Red]#,##0.00\ &quot;€&quot;">
                  <c:v>798.35000000002947</c:v>
                </c:pt>
                <c:pt idx="11" formatCode="#,##0.00\ &quot;€&quot;;[Red]#,##0.00\ &quot;€&quot;">
                  <c:v>12600.690000000015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595136"/>
        <c:axId val="285595528"/>
      </c:lineChart>
      <c:catAx>
        <c:axId val="285595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5595528"/>
        <c:crosses val="autoZero"/>
        <c:auto val="1"/>
        <c:lblAlgn val="ctr"/>
        <c:lblOffset val="100"/>
        <c:noMultiLvlLbl val="0"/>
      </c:catAx>
      <c:valAx>
        <c:axId val="285595528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559513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8219.1975000000002</c:v>
                </c:pt>
                <c:pt idx="1">
                  <c:v>9693.3920000000016</c:v>
                </c:pt>
                <c:pt idx="2">
                  <c:v>7356.7636363636375</c:v>
                </c:pt>
                <c:pt idx="3">
                  <c:v>10050.459500000001</c:v>
                </c:pt>
                <c:pt idx="4">
                  <c:v>9151.9235000000008</c:v>
                </c:pt>
                <c:pt idx="5">
                  <c:v>8279.170454545454</c:v>
                </c:pt>
                <c:pt idx="6">
                  <c:v>9597.6813043478269</c:v>
                </c:pt>
                <c:pt idx="7">
                  <c:v>6913.8431578947375</c:v>
                </c:pt>
                <c:pt idx="8">
                  <c:v>7992.4709090909082</c:v>
                </c:pt>
                <c:pt idx="9">
                  <c:v>7644.6804761904768</c:v>
                </c:pt>
                <c:pt idx="10">
                  <c:v>8942.9955000000009</c:v>
                </c:pt>
                <c:pt idx="11">
                  <c:v>8579.6547619047633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597096"/>
        <c:axId val="285596704"/>
      </c:lineChart>
      <c:valAx>
        <c:axId val="285596704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285597096"/>
        <c:crosses val="autoZero"/>
        <c:crossBetween val="between"/>
      </c:valAx>
      <c:catAx>
        <c:axId val="285597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285596704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96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401.44819865319863</c:v>
                </c:pt>
                <c:pt idx="1">
                  <c:v>314.11705109489048</c:v>
                </c:pt>
                <c:pt idx="2">
                  <c:v>338.61758569299559</c:v>
                </c:pt>
                <c:pt idx="3">
                  <c:v>334.26568750000001</c:v>
                </c:pt>
                <c:pt idx="4">
                  <c:v>381.59621513944228</c:v>
                </c:pt>
                <c:pt idx="5" formatCode="#,##0.00\ &quot;€&quot;">
                  <c:v>391.30895479187365</c:v>
                </c:pt>
                <c:pt idx="6" formatCode="#,##0.00\ &quot;€&quot;">
                  <c:v>375.98388975155274</c:v>
                </c:pt>
                <c:pt idx="7" formatCode="#,##0.00\ &quot;€&quot;">
                  <c:v>76.693574603174596</c:v>
                </c:pt>
                <c:pt idx="8" formatCode="#,##0.00\ &quot;€&quot;">
                  <c:v>337.30786304604487</c:v>
                </c:pt>
                <c:pt idx="9" formatCode="#,##0.00\ &quot;€&quot;">
                  <c:v>210.24088609802897</c:v>
                </c:pt>
                <c:pt idx="10" formatCode="#,##0.00\ &quot;€&quot;">
                  <c:v>195.53877189654085</c:v>
                </c:pt>
                <c:pt idx="11" formatCode="#,##0.00\ &quot;€&quot;">
                  <c:v>66.489533622559648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597880"/>
        <c:axId val="285598272"/>
      </c:lineChart>
      <c:catAx>
        <c:axId val="285597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285598272"/>
        <c:crosses val="autoZero"/>
        <c:auto val="1"/>
        <c:lblAlgn val="ctr"/>
        <c:lblOffset val="100"/>
        <c:noMultiLvlLbl val="0"/>
      </c:catAx>
      <c:valAx>
        <c:axId val="285598272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559788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92"/>
          <c:w val="0.18471232006758553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60723.23</c:v>
                </c:pt>
                <c:pt idx="1">
                  <c:v>5748.0199999999859</c:v>
                </c:pt>
                <c:pt idx="2">
                  <c:v>70268.270000000019</c:v>
                </c:pt>
                <c:pt idx="3">
                  <c:v>-3593.0200000000086</c:v>
                </c:pt>
                <c:pt idx="4">
                  <c:v>37184.769999999968</c:v>
                </c:pt>
                <c:pt idx="5">
                  <c:v>92431.730000000025</c:v>
                </c:pt>
                <c:pt idx="6" formatCode="#,##0.00\ &quot;€&quot;;[Red]#,##0.00\ &quot;€&quot;">
                  <c:v>53142.069999999992</c:v>
                </c:pt>
                <c:pt idx="7">
                  <c:v>-20804.529999999995</c:v>
                </c:pt>
                <c:pt idx="8">
                  <c:v>72494.370000000024</c:v>
                </c:pt>
                <c:pt idx="9" formatCode="#,##0.00\ &quot;€&quot;;[Red]#,##0.00\ &quot;€&quot;">
                  <c:v>72960.130000000019</c:v>
                </c:pt>
                <c:pt idx="10" formatCode="#,##0.00\ &quot;€&quot;;[Red]#,##0.00\ &quot;€&quot;">
                  <c:v>798.35000000002947</c:v>
                </c:pt>
                <c:pt idx="11" formatCode="#,##0.00\ &quot;€&quot;;[Red]#,##0.00\ &quot;€&quot;">
                  <c:v>12600.690000000015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599056"/>
        <c:axId val="285599448"/>
      </c:lineChart>
      <c:catAx>
        <c:axId val="285599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5599448"/>
        <c:crosses val="autoZero"/>
        <c:auto val="1"/>
        <c:lblAlgn val="ctr"/>
        <c:lblOffset val="100"/>
        <c:noMultiLvlLbl val="0"/>
      </c:catAx>
      <c:valAx>
        <c:axId val="285599448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55990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8219.1975000000002</c:v>
                </c:pt>
                <c:pt idx="1">
                  <c:v>9693.3920000000016</c:v>
                </c:pt>
                <c:pt idx="2">
                  <c:v>7356.7636363636375</c:v>
                </c:pt>
                <c:pt idx="3">
                  <c:v>10050.459500000001</c:v>
                </c:pt>
                <c:pt idx="4">
                  <c:v>9151.9235000000008</c:v>
                </c:pt>
                <c:pt idx="5">
                  <c:v>8279.170454545454</c:v>
                </c:pt>
                <c:pt idx="6">
                  <c:v>9597.6813043478269</c:v>
                </c:pt>
                <c:pt idx="7">
                  <c:v>6913.8431578947375</c:v>
                </c:pt>
                <c:pt idx="8">
                  <c:v>7992.4709090909082</c:v>
                </c:pt>
                <c:pt idx="9">
                  <c:v>7644.6804761904768</c:v>
                </c:pt>
                <c:pt idx="10">
                  <c:v>8942.9955000000009</c:v>
                </c:pt>
                <c:pt idx="11">
                  <c:v>8579.6547619047633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490008"/>
        <c:axId val="310489616"/>
      </c:lineChart>
      <c:valAx>
        <c:axId val="310489616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310490008"/>
        <c:crosses val="autoZero"/>
        <c:crossBetween val="between"/>
      </c:valAx>
      <c:catAx>
        <c:axId val="310490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310489616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495"/>
          <c:w val="0.76520522726602103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64148.639999999999</c:v>
                </c:pt>
                <c:pt idx="1">
                  <c:v>74637.47</c:v>
                </c:pt>
                <c:pt idx="2">
                  <c:v>68861.58</c:v>
                </c:pt>
                <c:pt idx="3">
                  <c:v>66085.09</c:v>
                </c:pt>
                <c:pt idx="4">
                  <c:v>64547.59</c:v>
                </c:pt>
                <c:pt idx="5">
                  <c:v>62531.09</c:v>
                </c:pt>
                <c:pt idx="6">
                  <c:v>63948.82</c:v>
                </c:pt>
                <c:pt idx="7">
                  <c:v>59654.49</c:v>
                </c:pt>
                <c:pt idx="8">
                  <c:v>63875.39</c:v>
                </c:pt>
                <c:pt idx="9">
                  <c:v>60314.86</c:v>
                </c:pt>
                <c:pt idx="10">
                  <c:v>62043.18</c:v>
                </c:pt>
                <c:pt idx="11">
                  <c:v>65602.17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310490792"/>
        <c:axId val="310491184"/>
      </c:lineChart>
      <c:catAx>
        <c:axId val="310490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4911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049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72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490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48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7226.0675757575764</c:v>
                </c:pt>
                <c:pt idx="1">
                  <c:v>6282.3410218978097</c:v>
                </c:pt>
                <c:pt idx="2">
                  <c:v>7449.5868852459025</c:v>
                </c:pt>
                <c:pt idx="3">
                  <c:v>6685.3137500000003</c:v>
                </c:pt>
                <c:pt idx="4">
                  <c:v>7631.924302788846</c:v>
                </c:pt>
                <c:pt idx="5">
                  <c:v>8608.7970054212201</c:v>
                </c:pt>
                <c:pt idx="6">
                  <c:v>8647.6294642857119</c:v>
                </c:pt>
                <c:pt idx="7">
                  <c:v>1610.5650666666668</c:v>
                </c:pt>
                <c:pt idx="8">
                  <c:v>7420.772987012987</c:v>
                </c:pt>
                <c:pt idx="9">
                  <c:v>7160.8987441130294</c:v>
                </c:pt>
                <c:pt idx="10">
                  <c:v>6614.9112881806113</c:v>
                </c:pt>
                <c:pt idx="11">
                  <c:v>3070.5984273318868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310491968"/>
        <c:axId val="310492360"/>
      </c:lineChart>
      <c:catAx>
        <c:axId val="31049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492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0492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491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5"/>
          <c:w val="0.76520522726602125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64148.639999999999</c:v>
                </c:pt>
                <c:pt idx="1">
                  <c:v>74637.47</c:v>
                </c:pt>
                <c:pt idx="2">
                  <c:v>68861.58</c:v>
                </c:pt>
                <c:pt idx="3">
                  <c:v>66085.09</c:v>
                </c:pt>
                <c:pt idx="4">
                  <c:v>64547.59</c:v>
                </c:pt>
                <c:pt idx="5">
                  <c:v>62531.09</c:v>
                </c:pt>
                <c:pt idx="6">
                  <c:v>63948.82</c:v>
                </c:pt>
                <c:pt idx="7">
                  <c:v>59654.49</c:v>
                </c:pt>
                <c:pt idx="8">
                  <c:v>63875.39</c:v>
                </c:pt>
                <c:pt idx="9">
                  <c:v>60314.86</c:v>
                </c:pt>
                <c:pt idx="10">
                  <c:v>62043.18</c:v>
                </c:pt>
                <c:pt idx="11">
                  <c:v>65602.17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310493144"/>
        <c:axId val="310493536"/>
      </c:lineChart>
      <c:catAx>
        <c:axId val="310493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493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049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94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493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2.xml"/><Relationship Id="rId2" Type="http://schemas.openxmlformats.org/officeDocument/2006/relationships/chart" Target="../charts/chart91.xml"/><Relationship Id="rId1" Type="http://schemas.openxmlformats.org/officeDocument/2006/relationships/image" Target="../media/image2.png"/><Relationship Id="rId4" Type="http://schemas.openxmlformats.org/officeDocument/2006/relationships/chart" Target="../charts/chart9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image" Target="../media/image2.png"/><Relationship Id="rId4" Type="http://schemas.openxmlformats.org/officeDocument/2006/relationships/chart" Target="../charts/chart96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0.xml"/><Relationship Id="rId2" Type="http://schemas.openxmlformats.org/officeDocument/2006/relationships/chart" Target="../charts/chart99.xml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5.xml"/><Relationship Id="rId1" Type="http://schemas.openxmlformats.org/officeDocument/2006/relationships/chart" Target="../charts/chart10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11" Type="http://schemas.openxmlformats.org/officeDocument/2006/relationships/chart" Target="../charts/chart56.xml"/><Relationship Id="rId5" Type="http://schemas.openxmlformats.org/officeDocument/2006/relationships/chart" Target="../charts/chart50.xml"/><Relationship Id="rId10" Type="http://schemas.openxmlformats.org/officeDocument/2006/relationships/chart" Target="../charts/chart55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17" Type="http://schemas.openxmlformats.org/officeDocument/2006/relationships/chart" Target="../charts/chart80.xml"/><Relationship Id="rId2" Type="http://schemas.openxmlformats.org/officeDocument/2006/relationships/chart" Target="../charts/chart65.xml"/><Relationship Id="rId16" Type="http://schemas.openxmlformats.org/officeDocument/2006/relationships/chart" Target="../charts/chart79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10" Type="http://schemas.openxmlformats.org/officeDocument/2006/relationships/chart" Target="../charts/chart73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82880</xdr:colOff>
      <xdr:row>34</xdr:row>
      <xdr:rowOff>63088</xdr:rowOff>
    </xdr:from>
    <xdr:to>
      <xdr:col>28</xdr:col>
      <xdr:colOff>4948</xdr:colOff>
      <xdr:row>40</xdr:row>
      <xdr:rowOff>23504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52</xdr:row>
      <xdr:rowOff>28453</xdr:rowOff>
    </xdr:from>
    <xdr:to>
      <xdr:col>27</xdr:col>
      <xdr:colOff>689015</xdr:colOff>
      <xdr:row>61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62</xdr:row>
      <xdr:rowOff>28451</xdr:rowOff>
    </xdr:from>
    <xdr:to>
      <xdr:col>28</xdr:col>
      <xdr:colOff>0</xdr:colOff>
      <xdr:row>71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73</xdr:row>
      <xdr:rowOff>55665</xdr:rowOff>
    </xdr:from>
    <xdr:to>
      <xdr:col>23</xdr:col>
      <xdr:colOff>95250</xdr:colOff>
      <xdr:row>82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42</xdr:row>
      <xdr:rowOff>149678</xdr:rowOff>
    </xdr:from>
    <xdr:to>
      <xdr:col>27</xdr:col>
      <xdr:colOff>711282</xdr:colOff>
      <xdr:row>49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84</xdr:row>
      <xdr:rowOff>27213</xdr:rowOff>
    </xdr:from>
    <xdr:to>
      <xdr:col>23</xdr:col>
      <xdr:colOff>122464</xdr:colOff>
      <xdr:row>94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571500</xdr:colOff>
      <xdr:row>23</xdr:row>
      <xdr:rowOff>176893</xdr:rowOff>
    </xdr:from>
    <xdr:to>
      <xdr:col>27</xdr:col>
      <xdr:colOff>545525</xdr:colOff>
      <xdr:row>32</xdr:row>
      <xdr:rowOff>48243</xdr:rowOff>
    </xdr:to>
    <xdr:graphicFrame macro="">
      <xdr:nvGraphicFramePr>
        <xdr:cNvPr id="1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100</xdr:row>
      <xdr:rowOff>0</xdr:rowOff>
    </xdr:from>
    <xdr:to>
      <xdr:col>23</xdr:col>
      <xdr:colOff>95249</xdr:colOff>
      <xdr:row>109</xdr:row>
      <xdr:rowOff>136072</xdr:rowOff>
    </xdr:to>
    <xdr:graphicFrame macro="">
      <xdr:nvGraphicFramePr>
        <xdr:cNvPr id="1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6</xdr:col>
      <xdr:colOff>295275</xdr:colOff>
      <xdr:row>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2005-2013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4</xdr:col>
      <xdr:colOff>161925</xdr:colOff>
      <xdr:row>3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2011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650" y="95250"/>
          <a:ext cx="158750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95250"/>
          <a:ext cx="1600200" cy="53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60550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1292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120650</xdr:rowOff>
    </xdr:from>
    <xdr:to>
      <xdr:col>1</xdr:col>
      <xdr:colOff>428625</xdr:colOff>
      <xdr:row>5</xdr:row>
      <xdr:rowOff>9525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20650"/>
          <a:ext cx="2638424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95249</xdr:rowOff>
    </xdr:from>
    <xdr:to>
      <xdr:col>0</xdr:col>
      <xdr:colOff>2281008</xdr:colOff>
      <xdr:row>4</xdr:row>
      <xdr:rowOff>91107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1" y="95249"/>
          <a:ext cx="2217507" cy="658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82880</xdr:colOff>
      <xdr:row>22</xdr:row>
      <xdr:rowOff>63088</xdr:rowOff>
    </xdr:from>
    <xdr:to>
      <xdr:col>28</xdr:col>
      <xdr:colOff>4948</xdr:colOff>
      <xdr:row>28</xdr:row>
      <xdr:rowOff>23504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39</xdr:row>
      <xdr:rowOff>28453</xdr:rowOff>
    </xdr:from>
    <xdr:to>
      <xdr:col>27</xdr:col>
      <xdr:colOff>689015</xdr:colOff>
      <xdr:row>48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49</xdr:row>
      <xdr:rowOff>28451</xdr:rowOff>
    </xdr:from>
    <xdr:to>
      <xdr:col>28</xdr:col>
      <xdr:colOff>0</xdr:colOff>
      <xdr:row>58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60</xdr:row>
      <xdr:rowOff>55665</xdr:rowOff>
    </xdr:from>
    <xdr:to>
      <xdr:col>23</xdr:col>
      <xdr:colOff>95250</xdr:colOff>
      <xdr:row>69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30</xdr:row>
      <xdr:rowOff>149678</xdr:rowOff>
    </xdr:from>
    <xdr:to>
      <xdr:col>27</xdr:col>
      <xdr:colOff>711282</xdr:colOff>
      <xdr:row>36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71</xdr:row>
      <xdr:rowOff>27213</xdr:rowOff>
    </xdr:from>
    <xdr:to>
      <xdr:col>23</xdr:col>
      <xdr:colOff>122464</xdr:colOff>
      <xdr:row>81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366713</xdr:colOff>
      <xdr:row>19</xdr:row>
      <xdr:rowOff>309563</xdr:rowOff>
    </xdr:from>
    <xdr:to>
      <xdr:col>15</xdr:col>
      <xdr:colOff>542925</xdr:colOff>
      <xdr:row>49</xdr:row>
      <xdr:rowOff>59532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4" name="AutoShape 1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5" name="AutoShape 3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6" name="AutoShape 3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7" name="AutoShape 35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8" name="AutoShape 36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9" name="AutoShape 37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0" name="AutoShape 38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1" name="AutoShape 39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2" name="AutoShape 4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3" name="AutoShape 4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4" name="AutoShape 42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5" name="AutoShape 4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6" name="AutoShape 4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6350</xdr:rowOff>
    </xdr:from>
    <xdr:to>
      <xdr:col>7</xdr:col>
      <xdr:colOff>69850</xdr:colOff>
      <xdr:row>49</xdr:row>
      <xdr:rowOff>95250</xdr:rowOff>
    </xdr:to>
    <xdr:graphicFrame macro="">
      <xdr:nvGraphicFramePr>
        <xdr:cNvPr id="17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40</xdr:row>
      <xdr:rowOff>107950</xdr:rowOff>
    </xdr:from>
    <xdr:to>
      <xdr:col>13</xdr:col>
      <xdr:colOff>825500</xdr:colOff>
      <xdr:row>70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40</xdr:row>
      <xdr:rowOff>120650</xdr:rowOff>
    </xdr:from>
    <xdr:to>
      <xdr:col>0</xdr:col>
      <xdr:colOff>25400</xdr:colOff>
      <xdr:row>40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311150</xdr:colOff>
      <xdr:row>15</xdr:row>
      <xdr:rowOff>44450</xdr:rowOff>
    </xdr:from>
    <xdr:to>
      <xdr:col>12</xdr:col>
      <xdr:colOff>977900</xdr:colOff>
      <xdr:row>48</xdr:row>
      <xdr:rowOff>114300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101600</xdr:rowOff>
    </xdr:from>
    <xdr:to>
      <xdr:col>14</xdr:col>
      <xdr:colOff>63500</xdr:colOff>
      <xdr:row>50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0</xdr:rowOff>
    </xdr:from>
    <xdr:to>
      <xdr:col>0</xdr:col>
      <xdr:colOff>1765300</xdr:colOff>
      <xdr:row>3</xdr:row>
      <xdr:rowOff>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0"/>
          <a:ext cx="17335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0</xdr:colOff>
      <xdr:row>106</xdr:row>
      <xdr:rowOff>0</xdr:rowOff>
    </xdr:from>
    <xdr:to>
      <xdr:col>23</xdr:col>
      <xdr:colOff>95250</xdr:colOff>
      <xdr:row>115</xdr:row>
      <xdr:rowOff>39587</xdr:rowOff>
    </xdr:to>
    <xdr:graphicFrame macro="">
      <xdr:nvGraphicFramePr>
        <xdr:cNvPr id="1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122</xdr:row>
      <xdr:rowOff>0</xdr:rowOff>
    </xdr:from>
    <xdr:to>
      <xdr:col>23</xdr:col>
      <xdr:colOff>95250</xdr:colOff>
      <xdr:row>132</xdr:row>
      <xdr:rowOff>94015</xdr:rowOff>
    </xdr:to>
    <xdr:graphicFrame macro="">
      <xdr:nvGraphicFramePr>
        <xdr:cNvPr id="16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761999</xdr:colOff>
      <xdr:row>139</xdr:row>
      <xdr:rowOff>0</xdr:rowOff>
    </xdr:from>
    <xdr:to>
      <xdr:col>25</xdr:col>
      <xdr:colOff>13606</xdr:colOff>
      <xdr:row>147</xdr:row>
      <xdr:rowOff>13607</xdr:rowOff>
    </xdr:to>
    <xdr:graphicFrame macro="">
      <xdr:nvGraphicFramePr>
        <xdr:cNvPr id="1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309563</xdr:colOff>
      <xdr:row>91</xdr:row>
      <xdr:rowOff>0</xdr:rowOff>
    </xdr:from>
    <xdr:to>
      <xdr:col>24</xdr:col>
      <xdr:colOff>611189</xdr:colOff>
      <xdr:row>99</xdr:row>
      <xdr:rowOff>50119</xdr:rowOff>
    </xdr:to>
    <xdr:graphicFrame macro="">
      <xdr:nvGraphicFramePr>
        <xdr:cNvPr id="12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285750</xdr:colOff>
      <xdr:row>102</xdr:row>
      <xdr:rowOff>190500</xdr:rowOff>
    </xdr:from>
    <xdr:to>
      <xdr:col>24</xdr:col>
      <xdr:colOff>587376</xdr:colOff>
      <xdr:row>111</xdr:row>
      <xdr:rowOff>26307</xdr:rowOff>
    </xdr:to>
    <xdr:graphicFrame macro="">
      <xdr:nvGraphicFramePr>
        <xdr:cNvPr id="1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261937</xdr:colOff>
      <xdr:row>114</xdr:row>
      <xdr:rowOff>190501</xdr:rowOff>
    </xdr:from>
    <xdr:to>
      <xdr:col>24</xdr:col>
      <xdr:colOff>563563</xdr:colOff>
      <xdr:row>122</xdr:row>
      <xdr:rowOff>26307</xdr:rowOff>
    </xdr:to>
    <xdr:graphicFrame macro="">
      <xdr:nvGraphicFramePr>
        <xdr:cNvPr id="15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261937</xdr:colOff>
      <xdr:row>124</xdr:row>
      <xdr:rowOff>202406</xdr:rowOff>
    </xdr:from>
    <xdr:to>
      <xdr:col>24</xdr:col>
      <xdr:colOff>563563</xdr:colOff>
      <xdr:row>132</xdr:row>
      <xdr:rowOff>38213</xdr:rowOff>
    </xdr:to>
    <xdr:graphicFrame macro="">
      <xdr:nvGraphicFramePr>
        <xdr:cNvPr id="1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753340</xdr:colOff>
      <xdr:row>17</xdr:row>
      <xdr:rowOff>25981</xdr:rowOff>
    </xdr:from>
    <xdr:to>
      <xdr:col>20</xdr:col>
      <xdr:colOff>753340</xdr:colOff>
      <xdr:row>28</xdr:row>
      <xdr:rowOff>176894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44</xdr:row>
      <xdr:rowOff>43296</xdr:rowOff>
    </xdr:from>
    <xdr:to>
      <xdr:col>22</xdr:col>
      <xdr:colOff>8659</xdr:colOff>
      <xdr:row>52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54</xdr:row>
      <xdr:rowOff>43295</xdr:rowOff>
    </xdr:from>
    <xdr:to>
      <xdr:col>21</xdr:col>
      <xdr:colOff>744680</xdr:colOff>
      <xdr:row>62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64</xdr:row>
      <xdr:rowOff>34636</xdr:rowOff>
    </xdr:from>
    <xdr:to>
      <xdr:col>21</xdr:col>
      <xdr:colOff>753340</xdr:colOff>
      <xdr:row>71</xdr:row>
      <xdr:rowOff>8659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72</xdr:row>
      <xdr:rowOff>114301</xdr:rowOff>
    </xdr:from>
    <xdr:to>
      <xdr:col>21</xdr:col>
      <xdr:colOff>752476</xdr:colOff>
      <xdr:row>79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103</xdr:row>
      <xdr:rowOff>133350</xdr:rowOff>
    </xdr:from>
    <xdr:to>
      <xdr:col>21</xdr:col>
      <xdr:colOff>704851</xdr:colOff>
      <xdr:row>109</xdr:row>
      <xdr:rowOff>88323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82</xdr:row>
      <xdr:rowOff>40824</xdr:rowOff>
    </xdr:from>
    <xdr:to>
      <xdr:col>22</xdr:col>
      <xdr:colOff>27215</xdr:colOff>
      <xdr:row>90</xdr:row>
      <xdr:rowOff>95252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93</xdr:row>
      <xdr:rowOff>0</xdr:rowOff>
    </xdr:from>
    <xdr:to>
      <xdr:col>22</xdr:col>
      <xdr:colOff>40822</xdr:colOff>
      <xdr:row>101</xdr:row>
      <xdr:rowOff>70303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251733</xdr:colOff>
      <xdr:row>109</xdr:row>
      <xdr:rowOff>131989</xdr:rowOff>
    </xdr:from>
    <xdr:to>
      <xdr:col>21</xdr:col>
      <xdr:colOff>251733</xdr:colOff>
      <xdr:row>122</xdr:row>
      <xdr:rowOff>140153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197303</xdr:colOff>
      <xdr:row>124</xdr:row>
      <xdr:rowOff>186416</xdr:rowOff>
    </xdr:from>
    <xdr:to>
      <xdr:col>21</xdr:col>
      <xdr:colOff>197303</xdr:colOff>
      <xdr:row>134</xdr:row>
      <xdr:rowOff>13607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88447</xdr:colOff>
      <xdr:row>135</xdr:row>
      <xdr:rowOff>63953</xdr:rowOff>
    </xdr:from>
    <xdr:to>
      <xdr:col>21</xdr:col>
      <xdr:colOff>88447</xdr:colOff>
      <xdr:row>146</xdr:row>
      <xdr:rowOff>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632732</xdr:colOff>
      <xdr:row>146</xdr:row>
      <xdr:rowOff>186417</xdr:rowOff>
    </xdr:from>
    <xdr:to>
      <xdr:col>20</xdr:col>
      <xdr:colOff>632732</xdr:colOff>
      <xdr:row>157</xdr:row>
      <xdr:rowOff>136071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61232</xdr:colOff>
      <xdr:row>159</xdr:row>
      <xdr:rowOff>77559</xdr:rowOff>
    </xdr:from>
    <xdr:to>
      <xdr:col>21</xdr:col>
      <xdr:colOff>61232</xdr:colOff>
      <xdr:row>172</xdr:row>
      <xdr:rowOff>31295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496661</xdr:colOff>
      <xdr:row>173</xdr:row>
      <xdr:rowOff>36739</xdr:rowOff>
    </xdr:from>
    <xdr:to>
      <xdr:col>21</xdr:col>
      <xdr:colOff>122465</xdr:colOff>
      <xdr:row>186</xdr:row>
      <xdr:rowOff>85725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734785</xdr:colOff>
      <xdr:row>30</xdr:row>
      <xdr:rowOff>0</xdr:rowOff>
    </xdr:from>
    <xdr:to>
      <xdr:col>21</xdr:col>
      <xdr:colOff>0</xdr:colOff>
      <xdr:row>42</xdr:row>
      <xdr:rowOff>68036</xdr:rowOff>
    </xdr:to>
    <xdr:graphicFrame macro="">
      <xdr:nvGraphicFramePr>
        <xdr:cNvPr id="1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753340</xdr:colOff>
      <xdr:row>17</xdr:row>
      <xdr:rowOff>25980</xdr:rowOff>
    </xdr:from>
    <xdr:to>
      <xdr:col>20</xdr:col>
      <xdr:colOff>753340</xdr:colOff>
      <xdr:row>27</xdr:row>
      <xdr:rowOff>51956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28</xdr:row>
      <xdr:rowOff>43296</xdr:rowOff>
    </xdr:from>
    <xdr:to>
      <xdr:col>22</xdr:col>
      <xdr:colOff>8659</xdr:colOff>
      <xdr:row>36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38</xdr:row>
      <xdr:rowOff>43295</xdr:rowOff>
    </xdr:from>
    <xdr:to>
      <xdr:col>21</xdr:col>
      <xdr:colOff>744680</xdr:colOff>
      <xdr:row>46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48</xdr:row>
      <xdr:rowOff>34636</xdr:rowOff>
    </xdr:from>
    <xdr:to>
      <xdr:col>21</xdr:col>
      <xdr:colOff>753340</xdr:colOff>
      <xdr:row>55</xdr:row>
      <xdr:rowOff>8659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56</xdr:row>
      <xdr:rowOff>114301</xdr:rowOff>
    </xdr:from>
    <xdr:to>
      <xdr:col>21</xdr:col>
      <xdr:colOff>752476</xdr:colOff>
      <xdr:row>63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87</xdr:row>
      <xdr:rowOff>133350</xdr:rowOff>
    </xdr:from>
    <xdr:to>
      <xdr:col>21</xdr:col>
      <xdr:colOff>704851</xdr:colOff>
      <xdr:row>93</xdr:row>
      <xdr:rowOff>88323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66</xdr:row>
      <xdr:rowOff>40824</xdr:rowOff>
    </xdr:from>
    <xdr:to>
      <xdr:col>22</xdr:col>
      <xdr:colOff>27215</xdr:colOff>
      <xdr:row>74</xdr:row>
      <xdr:rowOff>95252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77</xdr:row>
      <xdr:rowOff>0</xdr:rowOff>
    </xdr:from>
    <xdr:to>
      <xdr:col>22</xdr:col>
      <xdr:colOff>40822</xdr:colOff>
      <xdr:row>85</xdr:row>
      <xdr:rowOff>70303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1200150</xdr:colOff>
          <xdr:row>0</xdr:row>
          <xdr:rowOff>180975</xdr:rowOff>
        </xdr:from>
        <xdr:to>
          <xdr:col>0</xdr:col>
          <xdr:colOff>3371850</xdr:colOff>
          <xdr:row>4</xdr:row>
          <xdr:rowOff>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6\indicadores%20%20empresa\A&#209;O%202010\INDICADORES%20CON%20DATOS%20INCORPORADOS%20201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STEMA%20DE%20GESTI&#211;N%20TS%2016949%20REV%2001/INDICADORES%20%20EMPRESA/2014/DATOS%20PARA%20INDICADORES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Excel\PRESUPUE\2.001\Revisi&#243;n%20de%20Presupuesto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 AÑO 2010"/>
      <sheetName val="RSB AÑO 2010"/>
      <sheetName val="JCC AÑO 2010"/>
      <sheetName val="JNL AÑO 2010"/>
      <sheetName val="AÑO 2010"/>
      <sheetName val="Comparación real - presupuesto"/>
      <sheetName val="Evolucion Rátios "/>
      <sheetName val="PRODUCTIVIDAD OPERARIO X DIA"/>
      <sheetName val="DATOS PERSONAL"/>
      <sheetName val="DESCLOSE FACTURACION"/>
      <sheetName val="FACTURACION %CLIENTES"/>
      <sheetName val="QUECAMBIARCADAMES"/>
      <sheetName val="Ventas por Grupo Cliente 2010"/>
      <sheetName val="Promedio Fact x día trabajo1"/>
      <sheetName val="Comparación Vtas mes 2009-2010"/>
      <sheetName val="Comparación Acum. Vtas 2009-10"/>
      <sheetName val="Evolución del personal 2010"/>
      <sheetName val="Clasificación del personal"/>
      <sheetName val="Resumen evaluación aprobados"/>
      <sheetName val="Presup.2010 Linares (Plantilla)"/>
      <sheetName val="Presup. 2010 Toledo (plantilla)"/>
      <sheetName val="MATG-MAR-JAAR AÑO (LINARES)"/>
    </sheetNames>
    <sheetDataSet>
      <sheetData sheetId="0">
        <row r="2">
          <cell r="C2">
            <v>84688.100000000035</v>
          </cell>
          <cell r="D2">
            <v>106105.91000000002</v>
          </cell>
          <cell r="E2">
            <v>110062.19999999998</v>
          </cell>
          <cell r="F2">
            <v>124955.42000000003</v>
          </cell>
          <cell r="G2">
            <v>125397.68999999999</v>
          </cell>
          <cell r="H2">
            <v>139090.85000000003</v>
          </cell>
          <cell r="I2">
            <v>130316.11</v>
          </cell>
          <cell r="J2">
            <v>20796.109999999997</v>
          </cell>
          <cell r="K2">
            <v>116111.53999999998</v>
          </cell>
          <cell r="L2">
            <v>122838.42999999998</v>
          </cell>
          <cell r="M2">
            <v>130604.58</v>
          </cell>
          <cell r="N2">
            <v>80741.589999999982</v>
          </cell>
        </row>
        <row r="20">
          <cell r="C20">
            <v>15</v>
          </cell>
          <cell r="D20">
            <v>20</v>
          </cell>
          <cell r="E20">
            <v>19</v>
          </cell>
          <cell r="F20">
            <v>20</v>
          </cell>
          <cell r="G20">
            <v>21</v>
          </cell>
          <cell r="H20">
            <v>22</v>
          </cell>
          <cell r="I20">
            <v>22</v>
          </cell>
          <cell r="J20">
            <v>6</v>
          </cell>
          <cell r="K20">
            <v>22</v>
          </cell>
          <cell r="L20">
            <v>20</v>
          </cell>
          <cell r="M20">
            <v>21</v>
          </cell>
          <cell r="N20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-MAR-JAAR AÑO (LINARES)"/>
      <sheetName val="MATG (SESEÑA)"/>
      <sheetName val="RSB (LINARES)"/>
      <sheetName val="RSB (SESEÑA)"/>
      <sheetName val="JCC-NLM AÑO (LINARES)"/>
      <sheetName val="MMN (SESEÑA)"/>
      <sheetName val="JNL-MAC AÑO (LINARES)"/>
      <sheetName val="DMT (SESEÑA)"/>
      <sheetName val="AÑO (LINARES)NUEVOS"/>
      <sheetName val="AÑO (LINARES)"/>
      <sheetName val="AÑO (SESEÑA)"/>
      <sheetName val="COMPARAC. REAL-PRESUPUESTO (L)"/>
      <sheetName val="COMPARAC. REAL-PRESUPUESTO (S)"/>
      <sheetName val="EVOLUCION RATIOS (LINARES) "/>
      <sheetName val="EVOLUCION RATIOS (SESEÑA)"/>
      <sheetName val="PRODUCTIV. OPERARIO X DIA (L)"/>
      <sheetName val="PRODUCTIV. OPERARIO X DIA (S)"/>
      <sheetName val="DATOS PERSONAL (L)"/>
      <sheetName val="DATOS PERSONAL (S)"/>
      <sheetName val="DESCLOSE FACTURACION"/>
      <sheetName val="FACTURACION %CLIENTES"/>
      <sheetName val="QUECAMBIARCADAMES"/>
      <sheetName val="Ventas por Grupo Cliente 2011"/>
      <sheetName val="Promedio Fact x día trabajo1"/>
      <sheetName val="Comparación Vtas mes 2012-2013"/>
      <sheetName val="Comparación Acum. Vtas 2012-13"/>
      <sheetName val="Evolución del personal 2011"/>
      <sheetName val="Clasificación del personal"/>
      <sheetName val="Resumen evaluación aprobados"/>
      <sheetName val="Presupuesto 2013 (Plantilla)"/>
    </sheetNames>
    <sheetDataSet>
      <sheetData sheetId="0">
        <row r="154">
          <cell r="C154">
            <v>226661.28</v>
          </cell>
          <cell r="E154">
            <v>185766.06000000003</v>
          </cell>
          <cell r="G154">
            <v>224952.76000000004</v>
          </cell>
          <cell r="I154">
            <v>190299.05999999997</v>
          </cell>
          <cell r="K154">
            <v>205613.97999999998</v>
          </cell>
          <cell r="M154">
            <v>269379.32</v>
          </cell>
          <cell r="O154">
            <v>278892.20000000007</v>
          </cell>
          <cell r="Q154">
            <v>51614.78</v>
          </cell>
          <cell r="S154">
            <v>276750.99</v>
          </cell>
          <cell r="U154">
            <v>253016.83000000002</v>
          </cell>
          <cell r="W154">
            <v>251678.77000000002</v>
          </cell>
          <cell r="Y154">
            <v>90400.52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Ventas"/>
      <sheetName val="Personas"/>
      <sheetName val="Gtos.personal"/>
      <sheetName val="Gtos.Grales."/>
      <sheetName val="Cta.Rdo.Ppto"/>
      <sheetName val="Ppto. Inversión"/>
      <sheetName val="Hipótesis"/>
    </sheetNames>
    <sheetDataSet>
      <sheetData sheetId="0"/>
      <sheetData sheetId="1">
        <row r="28">
          <cell r="B28" t="str">
            <v>Totales</v>
          </cell>
          <cell r="C28">
            <v>3007.7849278184462</v>
          </cell>
          <cell r="D28">
            <v>3026.9834421165242</v>
          </cell>
          <cell r="E28">
            <v>3218.0593379250654</v>
          </cell>
          <cell r="F28">
            <v>2692.3557390645847</v>
          </cell>
          <cell r="G28">
            <v>3323.2124938396259</v>
          </cell>
          <cell r="H28">
            <v>3015.0162754077869</v>
          </cell>
          <cell r="J28">
            <v>1350.9707908117268</v>
          </cell>
          <cell r="K28">
            <v>2863.03557991658</v>
          </cell>
          <cell r="L28">
            <v>3123.9157200726027</v>
          </cell>
          <cell r="M28">
            <v>2956.3250573966561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bla1" displayName="Tabla1" ref="B6:N12" totalsRowShown="0" headerRowDxfId="682" headerRowBorderDxfId="681" tableBorderDxfId="680">
  <tableColumns count="13">
    <tableColumn id="1" name="2015" dataDxfId="679"/>
    <tableColumn id="2" name="ENERO" dataDxfId="678"/>
    <tableColumn id="3" name="FEBRERO" dataDxfId="677"/>
    <tableColumn id="4" name="MARZO" dataDxfId="676"/>
    <tableColumn id="5" name="ABRIL" dataDxfId="675"/>
    <tableColumn id="6" name="MAYO" dataDxfId="674"/>
    <tableColumn id="7" name="JUNIO" dataDxfId="673"/>
    <tableColumn id="8" name="JULIO" dataDxfId="672"/>
    <tableColumn id="9" name="AGOSTO" dataDxfId="671"/>
    <tableColumn id="10" name="SEPTIEMBRE" dataDxfId="670"/>
    <tableColumn id="11" name="OCTUBRE" dataDxfId="669"/>
    <tableColumn id="12" name="NOVIEMBRE" dataDxfId="668"/>
    <tableColumn id="13" name="DICIEMBRE" dataDxfId="667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id="69" name="Tabla270" displayName="Tabla270" ref="B26:N32" totalsRowShown="0" headerRowDxfId="607" headerRowBorderDxfId="606" tableBorderDxfId="605">
  <tableColumns count="13">
    <tableColumn id="1" name="2015"/>
    <tableColumn id="2" name="ENERO"/>
    <tableColumn id="3" name="FEBRERO" dataDxfId="604"/>
    <tableColumn id="4" name="MARZO" dataDxfId="603" dataCellStyle="Porcentaje"/>
    <tableColumn id="5" name="ABRIL"/>
    <tableColumn id="6" name="MAYO"/>
    <tableColumn id="7" name="JUNIO" dataDxfId="602" dataCellStyle="Porcentaje"/>
    <tableColumn id="8" name="JULIO"/>
    <tableColumn id="9" name="AGOSTO"/>
    <tableColumn id="10" name="SEPTIEMBRE" dataDxfId="601" dataCellStyle="Porcentaje"/>
    <tableColumn id="11" name="OCTUBRE"/>
    <tableColumn id="12" name="NOVIEMBRE"/>
    <tableColumn id="13" name="DICIEMBRE" dataDxfId="600" dataCellStyle="Porcentaje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id="30" name="Tabla131" displayName="Tabla131" ref="B6:N12" totalsRowShown="0" headerRowDxfId="599" headerRowBorderDxfId="598" tableBorderDxfId="597">
  <tableColumns count="13">
    <tableColumn id="1" name="2013" dataDxfId="596"/>
    <tableColumn id="2" name="ENERO" dataDxfId="595"/>
    <tableColumn id="3" name="FEBRERO" dataDxfId="594"/>
    <tableColumn id="4" name="MARZO" dataDxfId="593"/>
    <tableColumn id="5" name="ABRIL" dataDxfId="592"/>
    <tableColumn id="6" name="MAYO" dataDxfId="591"/>
    <tableColumn id="7" name="JUNIO" dataDxfId="590"/>
    <tableColumn id="8" name="JULIO" dataDxfId="589"/>
    <tableColumn id="9" name="AGOSTO" dataDxfId="588"/>
    <tableColumn id="10" name="SEPTIEMBRE" dataDxfId="587"/>
    <tableColumn id="11" name="OCTUBRE" dataDxfId="586"/>
    <tableColumn id="12" name="NOVIEMBRE" dataDxfId="585"/>
    <tableColumn id="13" name="DICIEMBRE" dataDxfId="584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id="31" name="Tabla232" displayName="Tabla232" ref="B16:N22" totalsRowShown="0" headerRowDxfId="583" headerRowBorderDxfId="582" tableBorderDxfId="581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id="32" name="Tabla333" displayName="Tabla333" ref="B26:N30" totalsRowShown="0" headerRowDxfId="580" headerRowBorderDxfId="579" tableBorderDxfId="578">
  <tableColumns count="13">
    <tableColumn id="1" name="2013"/>
    <tableColumn id="2" name="ENERO" dataDxfId="577">
      <calculatedColumnFormula>DATOS!D$67</calculatedColumnFormula>
    </tableColumn>
    <tableColumn id="3" name="FEBRERO" dataDxfId="576">
      <calculatedColumnFormula>DATOS!F$67</calculatedColumnFormula>
    </tableColumn>
    <tableColumn id="4" name="MARZO"/>
    <tableColumn id="5" name="ABRIL" dataDxfId="575">
      <calculatedColumnFormula>DATOS!J$67</calculatedColumnFormula>
    </tableColumn>
    <tableColumn id="6" name="MAYO" dataDxfId="574">
      <calculatedColumnFormula>DATOS!L$67</calculatedColumnFormula>
    </tableColumn>
    <tableColumn id="7" name="JUNIO"/>
    <tableColumn id="8" name="JULIO" dataDxfId="573">
      <calculatedColumnFormula>DATOS!P$67</calculatedColumnFormula>
    </tableColumn>
    <tableColumn id="9" name="AGOSTO" dataDxfId="572">
      <calculatedColumnFormula>DATOS!R$67</calculatedColumnFormula>
    </tableColumn>
    <tableColumn id="10" name="SEPTIEMBRE"/>
    <tableColumn id="11" name="OCTUBRE" dataDxfId="571">
      <calculatedColumnFormula>DATOS!V$67</calculatedColumnFormula>
    </tableColumn>
    <tableColumn id="12" name="NOVIEMBRE" dataDxfId="570">
      <calculatedColumnFormula>DATOS!X$67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id="33" name="Tabla534" displayName="Tabla534" ref="B42:N47" totalsRowShown="0" headerRowDxfId="569" headerRowBorderDxfId="568" tableBorderDxfId="567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id="34" name="Tabla635" displayName="Tabla635" ref="B51:N57" totalsRowShown="0" headerRowDxfId="566" headerRowBorderDxfId="565" tableBorderDxfId="564" totalsRowBorderDxfId="563">
  <tableColumns count="13">
    <tableColumn id="1" name="2013" dataDxfId="562"/>
    <tableColumn id="2" name="ENERO" dataDxfId="561">
      <calculatedColumnFormula>DATOS!D$3</calculatedColumnFormula>
    </tableColumn>
    <tableColumn id="3" name="FEBRERO" dataDxfId="560">
      <calculatedColumnFormula>DATOS!F$81</calculatedColumnFormula>
    </tableColumn>
    <tableColumn id="4" name="MARZO" dataDxfId="559"/>
    <tableColumn id="5" name="ABRIL" dataDxfId="558">
      <calculatedColumnFormula>DATOS!J$81</calculatedColumnFormula>
    </tableColumn>
    <tableColumn id="6" name="MAYO" dataDxfId="557">
      <calculatedColumnFormula>DATOS!L$81</calculatedColumnFormula>
    </tableColumn>
    <tableColumn id="7" name="JUNIO" dataDxfId="556"/>
    <tableColumn id="8" name="JULIO" dataDxfId="555">
      <calculatedColumnFormula>DATOS!P$81</calculatedColumnFormula>
    </tableColumn>
    <tableColumn id="9" name="AGOSTO" dataDxfId="554">
      <calculatedColumnFormula>DATOS!R$81</calculatedColumnFormula>
    </tableColumn>
    <tableColumn id="10" name="SEPTIEMBRE" dataDxfId="553"/>
    <tableColumn id="11" name="OCTUBRE" dataDxfId="552">
      <calculatedColumnFormula>DATOS!V$81</calculatedColumnFormula>
    </tableColumn>
    <tableColumn id="12" name="NOVIEMBRE" dataDxfId="551">
      <calculatedColumnFormula>DATOS!X$81</calculatedColumnFormula>
    </tableColumn>
    <tableColumn id="13" name="DICIEMBRE" dataDxfId="550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id="35" name="Tabla61236" displayName="Tabla61236" ref="B61:C64" totalsRowShown="0" headerRowDxfId="549" headerRowBorderDxfId="548" tableBorderDxfId="547" totalsRowBorderDxfId="546">
  <tableColumns count="2">
    <tableColumn id="1" name="2013"/>
    <tableColumn id="2" name="TOTAL" dataDxfId="545"/>
  </tableColumns>
  <tableStyleInfo name="TableStyleMedium5" showFirstColumn="0" showLastColumn="0" showRowStripes="1" showColumnStripes="0"/>
</table>
</file>

<file path=xl/tables/table17.xml><?xml version="1.0" encoding="utf-8"?>
<table xmlns="http://schemas.openxmlformats.org/spreadsheetml/2006/main" id="36" name="Tabla32837" displayName="Tabla32837" ref="B34:N38" totalsRowShown="0" headerRowDxfId="544" headerRowBorderDxfId="543" tableBorderDxfId="542">
  <tableColumns count="13">
    <tableColumn id="1" name="2013"/>
    <tableColumn id="2" name="ENERO" dataDxfId="541">
      <calculatedColumnFormula>DATOS!D$68</calculatedColumnFormula>
    </tableColumn>
    <tableColumn id="3" name="FEBRERO" dataDxfId="540">
      <calculatedColumnFormula>DATOS!F$68</calculatedColumnFormula>
    </tableColumn>
    <tableColumn id="4" name="MARZO"/>
    <tableColumn id="5" name="ABRIL" dataDxfId="539">
      <calculatedColumnFormula>DATOS!J$68</calculatedColumnFormula>
    </tableColumn>
    <tableColumn id="6" name="MAYO" dataDxfId="538">
      <calculatedColumnFormula>DATOS!L$68</calculatedColumnFormula>
    </tableColumn>
    <tableColumn id="7" name="JUNIO"/>
    <tableColumn id="8" name="JULIO" dataDxfId="537">
      <calculatedColumnFormula>DATOS!P$68</calculatedColumnFormula>
    </tableColumn>
    <tableColumn id="9" name="AGOSTO" dataDxfId="536">
      <calculatedColumnFormula>DATOS!R$68</calculatedColumnFormula>
    </tableColumn>
    <tableColumn id="10" name="SEPTIEMBRE"/>
    <tableColumn id="11" name="OCTUBRE" dataDxfId="535">
      <calculatedColumnFormula>DATOS!V$68</calculatedColumnFormula>
    </tableColumn>
    <tableColumn id="12" name="NOVIEMBRE" dataDxfId="534">
      <calculatedColumnFormula>DATOS!X$68</calculatedColumnFormula>
    </tableColumn>
    <tableColumn id="13" name="DICIEMBRE"/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id="37" name="Tabla6122938" displayName="Tabla6122938" ref="B71:C74" totalsRowShown="0" headerRowDxfId="533" headerRowBorderDxfId="532" tableBorderDxfId="531" totalsRowBorderDxfId="530">
  <tableColumns count="2">
    <tableColumn id="1" name="2013"/>
    <tableColumn id="2" name="TOTAL" dataDxfId="529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id="8" name="Tabla19" displayName="Tabla19" ref="B6:N21" totalsRowShown="0" headerRowDxfId="528" headerRowBorderDxfId="527" tableBorderDxfId="526">
  <tableColumns count="13">
    <tableColumn id="1" name="2015" dataDxfId="525"/>
    <tableColumn id="2" name="ENERO" dataDxfId="524"/>
    <tableColumn id="3" name="FEBRERO" dataDxfId="523"/>
    <tableColumn id="4" name="MARZO" dataDxfId="522"/>
    <tableColumn id="5" name="ABRIL" dataDxfId="521"/>
    <tableColumn id="6" name="MAYO" dataDxfId="520"/>
    <tableColumn id="7" name="JUNIO" dataDxfId="519"/>
    <tableColumn id="8" name="JULIO" dataDxfId="518"/>
    <tableColumn id="9" name="AGOSTO" dataDxfId="517"/>
    <tableColumn id="10" name="SEPTIEMBRE" dataDxfId="516"/>
    <tableColumn id="11" name="OCTUBRE" dataDxfId="515"/>
    <tableColumn id="12" name="NOVIEMBRE" dataDxfId="514"/>
    <tableColumn id="13" name="DICIEMBRE" dataDxfId="5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16:N22" totalsRowShown="0" headerRowDxfId="666" headerRowBorderDxfId="665" tableBorderDxfId="664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0.xml><?xml version="1.0" encoding="utf-8"?>
<table xmlns="http://schemas.openxmlformats.org/spreadsheetml/2006/main" id="9" name="Tabla210" displayName="Tabla210" ref="B25:N30" totalsRowShown="0" headerRowDxfId="512" headerRowBorderDxfId="511" tableBorderDxfId="510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id="10" name="Tabla311" displayName="Tabla311" ref="B34:N40" totalsRowShown="0" headerRowDxfId="509" headerRowBorderDxfId="508" tableBorderDxfId="507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id="12" name="Tabla513" displayName="Tabla513" ref="B44:N49" totalsRowShown="0" headerRowDxfId="506" headerRowBorderDxfId="505" tableBorderDxfId="504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3.xml><?xml version="1.0" encoding="utf-8"?>
<table xmlns="http://schemas.openxmlformats.org/spreadsheetml/2006/main" id="13" name="Tabla614" displayName="Tabla614" ref="B53:N56" totalsRowShown="0" headerRowDxfId="503" headerRowBorderDxfId="502" tableBorderDxfId="501" totalsRowBorderDxfId="500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id="14" name="Tabla61215" displayName="Tabla61215" ref="B60:N63" totalsRowShown="0" headerRowDxfId="499" headerRowBorderDxfId="498" tableBorderDxfId="497" totalsRowBorderDxfId="496">
  <tableColumns count="13">
    <tableColumn id="1" name="2015"/>
    <tableColumn id="2" name="ENERO" dataDxfId="495">
      <calculatedColumnFormula>DATOS!D$7</calculatedColumnFormula>
    </tableColumn>
    <tableColumn id="3" name="FEBRERO" dataDxfId="494">
      <calculatedColumnFormula>DATOS!F$7</calculatedColumnFormula>
    </tableColumn>
    <tableColumn id="4" name="MARZO" dataDxfId="493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id="15" name="Tabla612516" displayName="Tabla612516" ref="B67:N70" totalsRowShown="0" headerRowDxfId="492" headerRowBorderDxfId="491" tableBorderDxfId="490" totalsRowBorderDxfId="489">
  <tableColumns count="13">
    <tableColumn id="1" name="2015"/>
    <tableColumn id="2" name="ENERO" dataDxfId="488">
      <calculatedColumnFormula>DATOS!D$8</calculatedColumnFormula>
    </tableColumn>
    <tableColumn id="3" name="FEBRERO" dataDxfId="487">
      <calculatedColumnFormula>DATOS!F$8</calculatedColumnFormula>
    </tableColumn>
    <tableColumn id="4" name="MARZO" dataDxfId="486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6.xml><?xml version="1.0" encoding="utf-8"?>
<table xmlns="http://schemas.openxmlformats.org/spreadsheetml/2006/main" id="16" name="Tabla6125817" displayName="Tabla6125817" ref="B74:N81" totalsRowShown="0" headerRowDxfId="485" headerRowBorderDxfId="484" tableBorderDxfId="483" totalsRowBorderDxfId="482">
  <tableColumns count="13">
    <tableColumn id="1" name="2015" dataDxfId="481"/>
    <tableColumn id="2" name="ENERO" dataDxfId="480"/>
    <tableColumn id="3" name="FEBRERO" dataDxfId="479"/>
    <tableColumn id="4" name="MARZO" dataDxfId="478"/>
    <tableColumn id="5" name="ABRIL" dataDxfId="477"/>
    <tableColumn id="6" name="MAYO" dataDxfId="476"/>
    <tableColumn id="7" name="JUNIO" dataDxfId="475"/>
    <tableColumn id="8" name="JULIO" dataDxfId="474"/>
    <tableColumn id="9" name="AGOSTO" dataDxfId="473"/>
    <tableColumn id="10" name="SEPTIEMBRE" dataDxfId="472"/>
    <tableColumn id="11" name="OCTUBRE" dataDxfId="471"/>
    <tableColumn id="12" name="NOVIEMBRE" dataDxfId="470"/>
    <tableColumn id="13" name="DICIEMBRE" dataDxfId="469"/>
  </tableColumns>
  <tableStyleInfo name="TableStyleMedium5" showFirstColumn="0" showLastColumn="0" showRowStripes="1" showColumnStripes="0"/>
</table>
</file>

<file path=xl/tables/table27.xml><?xml version="1.0" encoding="utf-8"?>
<table xmlns="http://schemas.openxmlformats.org/spreadsheetml/2006/main" id="29" name="Tabla61251630" displayName="Tabla61251630" ref="B88:N94" totalsRowShown="0" headerRowDxfId="468" headerRowBorderDxfId="467" tableBorderDxfId="466" totalsRowBorderDxfId="465">
  <tableColumns count="13">
    <tableColumn id="1" name="2015" dataDxfId="464"/>
    <tableColumn id="2" name="ENERO" dataDxfId="463">
      <calculatedColumnFormula>DATOS!D$8</calculatedColumnFormula>
    </tableColumn>
    <tableColumn id="3" name="FEBRERO" dataDxfId="462">
      <calculatedColumnFormula>DATOS!F$8</calculatedColumnFormula>
    </tableColumn>
    <tableColumn id="4" name="MARZO" dataDxfId="461">
      <calculatedColumnFormula>DATOS!H$8</calculatedColumnFormula>
    </tableColumn>
    <tableColumn id="5" name="ABRIL" dataDxfId="460"/>
    <tableColumn id="6" name="MAYO" dataDxfId="459"/>
    <tableColumn id="7" name="JUNIO" dataDxfId="458"/>
    <tableColumn id="8" name="JULIO" dataDxfId="457"/>
    <tableColumn id="9" name="AGOSTO" dataDxfId="456"/>
    <tableColumn id="10" name="SEPTIEMBRE" dataDxfId="455"/>
    <tableColumn id="11" name="OCTUBRE" dataDxfId="454"/>
    <tableColumn id="12" name="NOVIEMBRE" dataDxfId="453"/>
    <tableColumn id="13" name="DICIEMBRE" dataDxfId="452"/>
  </tableColumns>
  <tableStyleInfo name="TableStyleMedium5" showFirstColumn="0" showLastColumn="0" showRowStripes="1" showColumnStripes="0"/>
</table>
</file>

<file path=xl/tables/table28.xml><?xml version="1.0" encoding="utf-8"?>
<table xmlns="http://schemas.openxmlformats.org/spreadsheetml/2006/main" id="72" name="Tabla6122938606373" displayName="Tabla6122938606373" ref="B110:C113" totalsRowShown="0" headerRowDxfId="451" headerRowBorderDxfId="450" tableBorderDxfId="449" totalsRowBorderDxfId="448">
  <tableColumns count="2">
    <tableColumn id="1" name="2015"/>
    <tableColumn id="2" name="TOTAL" dataDxfId="447"/>
  </tableColumns>
  <tableStyleInfo name="TableStyleMedium5" showFirstColumn="0" showLastColumn="0" showRowStripes="1" showColumnStripes="0"/>
</table>
</file>

<file path=xl/tables/table29.xml><?xml version="1.0" encoding="utf-8"?>
<table xmlns="http://schemas.openxmlformats.org/spreadsheetml/2006/main" id="73" name="Tabla612293860616474" displayName="Tabla612293860616474" ref="B125:E128" totalsRowShown="0" headerRowDxfId="446" headerRowBorderDxfId="445" tableBorderDxfId="444" totalsRowBorderDxfId="443">
  <tableColumns count="4">
    <tableColumn id="1" name="2015"/>
    <tableColumn id="2" name="N" dataDxfId="442"/>
    <tableColumn id="3" name="N-1"/>
    <tableColumn id="4" name="A/D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B38:N42" totalsRowShown="0" headerRowDxfId="663" headerRowBorderDxfId="662" tableBorderDxfId="661">
  <tableColumns count="13">
    <tableColumn id="1" name="2015"/>
    <tableColumn id="2" name="ENERO" dataDxfId="660">
      <calculatedColumnFormula>DATOS!C$67</calculatedColumnFormula>
    </tableColumn>
    <tableColumn id="3" name="FEBRERO" dataDxfId="659">
      <calculatedColumnFormula>DATOS!E$67</calculatedColumnFormula>
    </tableColumn>
    <tableColumn id="4" name="MARZO"/>
    <tableColumn id="5" name="ABRIL" dataDxfId="658">
      <calculatedColumnFormula>DATOS!I$67</calculatedColumnFormula>
    </tableColumn>
    <tableColumn id="6" name="MAYO" dataDxfId="657">
      <calculatedColumnFormula>DATOS!K$67</calculatedColumnFormula>
    </tableColumn>
    <tableColumn id="7" name="JUNIO"/>
    <tableColumn id="8" name="JULIO" dataDxfId="656">
      <calculatedColumnFormula>DATOS!O$67</calculatedColumnFormula>
    </tableColumn>
    <tableColumn id="9" name="AGOSTO" dataDxfId="655">
      <calculatedColumnFormula>DATOS!Q$67</calculatedColumnFormula>
    </tableColumn>
    <tableColumn id="10" name="SEPTIEMBRE"/>
    <tableColumn id="11" name="OCTUBRE" dataDxfId="654">
      <calculatedColumnFormula>DATOS!U$67</calculatedColumnFormula>
    </tableColumn>
    <tableColumn id="12" name="NOVIEMBRE" dataDxfId="653">
      <calculatedColumnFormula>DATOS!W$67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30.xml><?xml version="1.0" encoding="utf-8"?>
<table xmlns="http://schemas.openxmlformats.org/spreadsheetml/2006/main" id="62" name="Tabla61463" displayName="Tabla61463" ref="B140:N143" totalsRowShown="0" headerRowDxfId="441" headerRowBorderDxfId="440" tableBorderDxfId="439" totalsRowBorderDxfId="438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1.xml><?xml version="1.0" encoding="utf-8"?>
<table xmlns="http://schemas.openxmlformats.org/spreadsheetml/2006/main" id="38" name="Tabla1939" displayName="Tabla1939" ref="B6:N21" totalsRowShown="0" headerRowDxfId="437" headerRowBorderDxfId="436" tableBorderDxfId="435">
  <tableColumns count="13">
    <tableColumn id="1" name="2013" dataDxfId="434"/>
    <tableColumn id="2" name="ENERO" dataDxfId="433"/>
    <tableColumn id="3" name="FEBRERO" dataDxfId="432"/>
    <tableColumn id="4" name="MARZO" dataDxfId="431"/>
    <tableColumn id="5" name="ABRIL" dataDxfId="430"/>
    <tableColumn id="6" name="MAYO" dataDxfId="429"/>
    <tableColumn id="7" name="JUNIO" dataDxfId="428"/>
    <tableColumn id="8" name="JULIO" dataDxfId="427"/>
    <tableColumn id="9" name="AGOSTO" dataDxfId="426"/>
    <tableColumn id="10" name="SEPTIEMBRE" dataDxfId="425"/>
    <tableColumn id="11" name="OCTUBRE" dataDxfId="424"/>
    <tableColumn id="12" name="NOVIEMBRE" dataDxfId="423"/>
    <tableColumn id="13" name="DICIEMBRE" dataDxfId="422"/>
  </tableColumns>
  <tableStyleInfo name="TableStyleMedium5" showFirstColumn="0" showLastColumn="0" showRowStripes="1" showColumnStripes="0"/>
</table>
</file>

<file path=xl/tables/table32.xml><?xml version="1.0" encoding="utf-8"?>
<table xmlns="http://schemas.openxmlformats.org/spreadsheetml/2006/main" id="39" name="Tabla21040" displayName="Tabla21040" ref="B25:N30" totalsRowShown="0" headerRowDxfId="421" headerRowBorderDxfId="420" tableBorderDxfId="419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3.xml><?xml version="1.0" encoding="utf-8"?>
<table xmlns="http://schemas.openxmlformats.org/spreadsheetml/2006/main" id="40" name="Tabla31141" displayName="Tabla31141" ref="B34:N40" totalsRowShown="0" headerRowDxfId="418" headerRowBorderDxfId="417" tableBorderDxfId="416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4.xml><?xml version="1.0" encoding="utf-8"?>
<table xmlns="http://schemas.openxmlformats.org/spreadsheetml/2006/main" id="41" name="Tabla51342" displayName="Tabla51342" ref="B44:N49" totalsRowShown="0" headerRowDxfId="415" headerRowBorderDxfId="414" tableBorderDxfId="413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5.xml><?xml version="1.0" encoding="utf-8"?>
<table xmlns="http://schemas.openxmlformats.org/spreadsheetml/2006/main" id="42" name="Tabla61443" displayName="Tabla61443" ref="B53:N56" totalsRowShown="0" headerRowDxfId="412" headerRowBorderDxfId="411" tableBorderDxfId="410" totalsRowBorderDxfId="409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6.xml><?xml version="1.0" encoding="utf-8"?>
<table xmlns="http://schemas.openxmlformats.org/spreadsheetml/2006/main" id="43" name="Tabla6121544" displayName="Tabla6121544" ref="B60:N63" totalsRowShown="0" headerRowDxfId="408" headerRowBorderDxfId="407" tableBorderDxfId="406" totalsRowBorderDxfId="405">
  <tableColumns count="13">
    <tableColumn id="1" name="2013"/>
    <tableColumn id="2" name="ENERO" dataDxfId="404">
      <calculatedColumnFormula>DATOS!D$7</calculatedColumnFormula>
    </tableColumn>
    <tableColumn id="3" name="FEBRERO" dataDxfId="403">
      <calculatedColumnFormula>DATOS!F$7</calculatedColumnFormula>
    </tableColumn>
    <tableColumn id="4" name="MARZO" dataDxfId="402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7.xml><?xml version="1.0" encoding="utf-8"?>
<table xmlns="http://schemas.openxmlformats.org/spreadsheetml/2006/main" id="44" name="Tabla61251645" displayName="Tabla61251645" ref="B67:N70" totalsRowShown="0" headerRowDxfId="401" headerRowBorderDxfId="400" tableBorderDxfId="399" totalsRowBorderDxfId="398">
  <tableColumns count="13">
    <tableColumn id="1" name="2013"/>
    <tableColumn id="2" name="ENERO" dataDxfId="397">
      <calculatedColumnFormula>DATOS!D$8</calculatedColumnFormula>
    </tableColumn>
    <tableColumn id="3" name="FEBRERO" dataDxfId="396">
      <calculatedColumnFormula>DATOS!F$8</calculatedColumnFormula>
    </tableColumn>
    <tableColumn id="4" name="MARZO" dataDxfId="395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8.xml><?xml version="1.0" encoding="utf-8"?>
<table xmlns="http://schemas.openxmlformats.org/spreadsheetml/2006/main" id="45" name="Tabla612581746" displayName="Tabla612581746" ref="B74:N81" totalsRowShown="0" headerRowDxfId="394" headerRowBorderDxfId="393" tableBorderDxfId="392" totalsRowBorderDxfId="391">
  <tableColumns count="13">
    <tableColumn id="1" name="2013" dataDxfId="390"/>
    <tableColumn id="2" name="ENERO" dataDxfId="389"/>
    <tableColumn id="3" name="FEBRERO" dataDxfId="388"/>
    <tableColumn id="4" name="MARZO" dataDxfId="387"/>
    <tableColumn id="5" name="ABRIL" dataDxfId="386"/>
    <tableColumn id="6" name="MAYO" dataDxfId="385"/>
    <tableColumn id="7" name="JUNIO" dataDxfId="384"/>
    <tableColumn id="8" name="JULIO" dataDxfId="383"/>
    <tableColumn id="9" name="AGOSTO" dataDxfId="382"/>
    <tableColumn id="10" name="SEPTIEMBRE" dataDxfId="381"/>
    <tableColumn id="11" name="OCTUBRE" dataDxfId="380"/>
    <tableColumn id="12" name="NOVIEMBRE" dataDxfId="379"/>
    <tableColumn id="13" name="DICIEMBRE" dataDxfId="378"/>
  </tableColumns>
  <tableStyleInfo name="TableStyleMedium5" showFirstColumn="0" showLastColumn="0" showRowStripes="1" showColumnStripes="0"/>
</table>
</file>

<file path=xl/tables/table39.xml><?xml version="1.0" encoding="utf-8"?>
<table xmlns="http://schemas.openxmlformats.org/spreadsheetml/2006/main" id="46" name="Tabla6125163047" displayName="Tabla6125163047" ref="B88:N94" totalsRowShown="0" headerRowDxfId="377" headerRowBorderDxfId="376" tableBorderDxfId="375" totalsRowBorderDxfId="374">
  <tableColumns count="13">
    <tableColumn id="1" name="2013" dataDxfId="373"/>
    <tableColumn id="2" name="ENERO" dataDxfId="372">
      <calculatedColumnFormula>DATOS!D$8</calculatedColumnFormula>
    </tableColumn>
    <tableColumn id="3" name="FEBRERO" dataDxfId="371">
      <calculatedColumnFormula>DATOS!F$8</calculatedColumnFormula>
    </tableColumn>
    <tableColumn id="4" name="MARZO" dataDxfId="370">
      <calculatedColumnFormula>DATOS!H$8</calculatedColumnFormula>
    </tableColumn>
    <tableColumn id="5" name="ABRIL" dataDxfId="369"/>
    <tableColumn id="6" name="MAYO" dataDxfId="368"/>
    <tableColumn id="7" name="JUNIO" dataDxfId="367"/>
    <tableColumn id="8" name="JULIO" dataDxfId="366"/>
    <tableColumn id="9" name="AGOSTO" dataDxfId="365"/>
    <tableColumn id="10" name="SEPTIEMBRE" dataDxfId="364"/>
    <tableColumn id="11" name="OCTUBRE" dataDxfId="363"/>
    <tableColumn id="12" name="NOVIEMBRE" dataDxfId="362"/>
    <tableColumn id="13" name="DICIEMBRE" dataDxfId="361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B55:C60" totalsRowShown="0" headerRowDxfId="652" headerRowBorderDxfId="651" tableBorderDxfId="650">
  <tableColumns count="2">
    <tableColumn id="1" name="2015"/>
    <tableColumn id="2" name="TOTAL" dataDxfId="649"/>
  </tableColumns>
  <tableStyleInfo name="TableStyleMedium5" showFirstColumn="0" showLastColumn="0" showRowStripes="1" showColumnStripes="0"/>
</table>
</file>

<file path=xl/tables/table40.xml><?xml version="1.0" encoding="utf-8"?>
<table xmlns="http://schemas.openxmlformats.org/spreadsheetml/2006/main" id="4" name="Tabla15" displayName="Tabla15" ref="B6:N12" totalsRowShown="0" headerRowDxfId="360" headerRowBorderDxfId="359" tableBorderDxfId="358">
  <tableColumns count="13">
    <tableColumn id="1" name="FACTURACIÓN MEDIA POR OPERARIO 2015" dataDxfId="357"/>
    <tableColumn id="2" name="ENERO" dataDxfId="356"/>
    <tableColumn id="3" name="FEBRERO" dataDxfId="355"/>
    <tableColumn id="4" name="MARZO" dataDxfId="354"/>
    <tableColumn id="5" name="ABRIL" dataDxfId="353"/>
    <tableColumn id="6" name="MAYO" dataDxfId="352"/>
    <tableColumn id="7" name="JUNIO" dataDxfId="351"/>
    <tableColumn id="8" name="JULIO" dataDxfId="350"/>
    <tableColumn id="9" name="AGOSTO" dataDxfId="349"/>
    <tableColumn id="10" name="SEPTIEMBRE" dataDxfId="348"/>
    <tableColumn id="11" name="OCTUBRE" dataDxfId="347"/>
    <tableColumn id="12" name="NOVIEMBRE" dataDxfId="346"/>
    <tableColumn id="13" name="DICIEMBRE" dataDxfId="345"/>
  </tableColumns>
  <tableStyleInfo name="TableStyleMedium5" showFirstColumn="0" showLastColumn="0" showRowStripes="1" showColumnStripes="0"/>
</table>
</file>

<file path=xl/tables/table41.xml><?xml version="1.0" encoding="utf-8"?>
<table xmlns="http://schemas.openxmlformats.org/spreadsheetml/2006/main" id="7" name="Tabla28" displayName="Tabla28" ref="B16:N23" totalsRowShown="0" headerRowDxfId="344" headerRowBorderDxfId="343" tableBorderDxfId="342">
  <tableColumns count="13">
    <tableColumn id="1" name="MEJORA PRESPTO PRODUCCIÓN 2015" dataDxfId="341"/>
    <tableColumn id="2" name="ENERO" dataDxfId="340"/>
    <tableColumn id="3" name="FEBRERO" dataDxfId="339"/>
    <tableColumn id="4" name="MARZO" dataDxfId="338"/>
    <tableColumn id="5" name="ABRIL" dataDxfId="337"/>
    <tableColumn id="6" name="MAYO" dataDxfId="336"/>
    <tableColumn id="7" name="JUNIO" dataDxfId="335"/>
    <tableColumn id="8" name="JULIO" dataDxfId="334"/>
    <tableColumn id="9" name="AGOSTO" dataDxfId="333"/>
    <tableColumn id="10" name="SEPTIEMBRE" dataDxfId="332"/>
    <tableColumn id="11" name="OCTUBRE" dataDxfId="331"/>
    <tableColumn id="12" name="NOVIEMBRE" dataDxfId="330"/>
    <tableColumn id="13" name="DICIEMBRE" dataDxfId="329"/>
  </tableColumns>
  <tableStyleInfo name="TableStyleMedium5" showFirstColumn="0" showLastColumn="0" showRowStripes="1" showColumnStripes="0"/>
</table>
</file>

<file path=xl/tables/table42.xml><?xml version="1.0" encoding="utf-8"?>
<table xmlns="http://schemas.openxmlformats.org/spreadsheetml/2006/main" id="47" name="Tabla1548" displayName="Tabla1548" ref="B6:N12" totalsRowShown="0" headerRowDxfId="328" headerRowBorderDxfId="327" tableBorderDxfId="326">
  <tableColumns count="13">
    <tableColumn id="1" name="FACTURACIÓN MEDIA POR OPERARIO 2013" dataDxfId="325"/>
    <tableColumn id="2" name="ENERO" dataDxfId="324"/>
    <tableColumn id="3" name="FEBRERO" dataDxfId="323"/>
    <tableColumn id="4" name="MARZO" dataDxfId="322"/>
    <tableColumn id="5" name="ABRIL" dataDxfId="321"/>
    <tableColumn id="6" name="MAYO" dataDxfId="320"/>
    <tableColumn id="7" name="JUNIO" dataDxfId="319"/>
    <tableColumn id="8" name="JULIO" dataDxfId="318"/>
    <tableColumn id="9" name="AGOSTO" dataDxfId="317"/>
    <tableColumn id="10" name="SEPTIEMBRE" dataDxfId="316"/>
    <tableColumn id="11" name="OCTUBRE" dataDxfId="315"/>
    <tableColumn id="12" name="NOVIEMBRE" dataDxfId="314"/>
    <tableColumn id="13" name="DICIEMBRE" dataDxfId="313"/>
  </tableColumns>
  <tableStyleInfo name="TableStyleMedium5" showFirstColumn="0" showLastColumn="0" showRowStripes="1" showColumnStripes="0"/>
</table>
</file>

<file path=xl/tables/table43.xml><?xml version="1.0" encoding="utf-8"?>
<table xmlns="http://schemas.openxmlformats.org/spreadsheetml/2006/main" id="48" name="Tabla2849" displayName="Tabla2849" ref="B16:N23" totalsRowShown="0" headerRowDxfId="312" headerRowBorderDxfId="311" tableBorderDxfId="310">
  <tableColumns count="13">
    <tableColumn id="1" name="MEJORA PRESPTO PRODUCCIÓN 2013" dataDxfId="309"/>
    <tableColumn id="2" name="ENERO" dataDxfId="308"/>
    <tableColumn id="3" name="FEBRERO" dataDxfId="307"/>
    <tableColumn id="4" name="MARZO" dataDxfId="306"/>
    <tableColumn id="5" name="ABRIL" dataDxfId="305"/>
    <tableColumn id="6" name="MAYO" dataDxfId="304"/>
    <tableColumn id="7" name="JUNIO" dataDxfId="303"/>
    <tableColumn id="8" name="JULIO" dataDxfId="302"/>
    <tableColumn id="9" name="AGOSTO" dataDxfId="301"/>
    <tableColumn id="10" name="SEPTIEMBRE" dataDxfId="300"/>
    <tableColumn id="11" name="OCTUBRE" dataDxfId="299"/>
    <tableColumn id="12" name="NOVIEMBRE" dataDxfId="298"/>
    <tableColumn id="13" name="DICIEMBRE" dataDxfId="297"/>
  </tableColumns>
  <tableStyleInfo name="TableStyleMedium5" showFirstColumn="0" showLastColumn="0" showRowStripes="1" showColumnStripes="0"/>
</table>
</file>

<file path=xl/tables/table44.xml><?xml version="1.0" encoding="utf-8"?>
<table xmlns="http://schemas.openxmlformats.org/spreadsheetml/2006/main" id="21" name="Tabla1922" displayName="Tabla1922" ref="B6:N9" totalsRowShown="0" headerRowDxfId="296" headerRowBorderDxfId="295" tableBorderDxfId="294">
  <tableColumns count="13">
    <tableColumn id="1" name="RECHAZOS INTERNOS 2015" dataDxfId="293"/>
    <tableColumn id="2" name="ENERO" dataDxfId="292"/>
    <tableColumn id="3" name="FEBRERO" dataDxfId="291"/>
    <tableColumn id="4" name="MARZO" dataDxfId="290"/>
    <tableColumn id="5" name="ABRIL" dataDxfId="289"/>
    <tableColumn id="6" name="MAYO" dataDxfId="288"/>
    <tableColumn id="7" name="JUNIO" dataDxfId="287"/>
    <tableColumn id="8" name="JULIO" dataDxfId="286"/>
    <tableColumn id="9" name="AGOSTO" dataDxfId="285"/>
    <tableColumn id="10" name="SEPTIEMBRE" dataDxfId="284"/>
    <tableColumn id="11" name="OCTUBRE" dataDxfId="283"/>
    <tableColumn id="12" name="NOVIEMBRE" dataDxfId="282"/>
    <tableColumn id="13" name="DICIEMBRE" dataDxfId="281"/>
  </tableColumns>
  <tableStyleInfo name="TableStyleMedium5" showFirstColumn="0" showLastColumn="0" showRowStripes="1" showColumnStripes="0"/>
</table>
</file>

<file path=xl/tables/table45.xml><?xml version="1.0" encoding="utf-8"?>
<table xmlns="http://schemas.openxmlformats.org/spreadsheetml/2006/main" id="22" name="Tabla21023" displayName="Tabla21023" ref="B13:N16" totalsRowShown="0" headerRowDxfId="280" headerRowBorderDxfId="279" tableBorderDxfId="278">
  <tableColumns count="13">
    <tableColumn id="1" name="RECHAZOS EXTERNOS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6.xml><?xml version="1.0" encoding="utf-8"?>
<table xmlns="http://schemas.openxmlformats.org/spreadsheetml/2006/main" id="23" name="Tabla31124" displayName="Tabla31124" ref="B20:N26" totalsRowShown="0" headerRowDxfId="277" headerRowBorderDxfId="276" tableBorderDxfId="275">
  <tableColumns count="13">
    <tableColumn id="1" name="COSTE NO CALIDAD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7.xml><?xml version="1.0" encoding="utf-8"?>
<table xmlns="http://schemas.openxmlformats.org/spreadsheetml/2006/main" id="24" name="Tabla51325" displayName="Tabla51325" ref="B46:N50" totalsRowShown="0" headerRowDxfId="274" headerRowBorderDxfId="273" tableBorderDxfId="272">
  <tableColumns count="13">
    <tableColumn id="1" name="INCIDNTES. CON DESPLAZAMTO A INSTALACIONES DE CLIENTES 2015"/>
    <tableColumn id="2" name="ENERO" dataDxfId="271">
      <calculatedColumnFormula>DATOS!C$50</calculatedColumnFormula>
    </tableColumn>
    <tableColumn id="3" name="FEBRERO" dataDxfId="270">
      <calculatedColumnFormula>DATOS!E$50</calculatedColumnFormula>
    </tableColumn>
    <tableColumn id="4" name="MARZO" dataDxfId="269">
      <calculatedColumnFormula>DATOS!G$50</calculatedColumnFormula>
    </tableColumn>
    <tableColumn id="5" name="ABRIL" dataDxfId="268">
      <calculatedColumnFormula>DATOS!I$50</calculatedColumnFormula>
    </tableColumn>
    <tableColumn id="6" name="MAYO" dataDxfId="267">
      <calculatedColumnFormula>DATOS!K$50</calculatedColumnFormula>
    </tableColumn>
    <tableColumn id="7" name="JUNIO"/>
    <tableColumn id="8" name="JULIO" dataDxfId="266">
      <calculatedColumnFormula>DATOS!O$50</calculatedColumnFormula>
    </tableColumn>
    <tableColumn id="9" name="AGOSTO" dataDxfId="265">
      <calculatedColumnFormula>DATOS!Q$50</calculatedColumnFormula>
    </tableColumn>
    <tableColumn id="10" name="SEPTIEMBRE" dataDxfId="264">
      <calculatedColumnFormula>DATOS!S$50</calculatedColumnFormula>
    </tableColumn>
    <tableColumn id="11" name="OCTUBRE" dataDxfId="263">
      <calculatedColumnFormula>DATOS!U$50</calculatedColumnFormula>
    </tableColumn>
    <tableColumn id="12" name="NOVIEMBRE" dataDxfId="262">
      <calculatedColumnFormula>DATOS!W$50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48.xml><?xml version="1.0" encoding="utf-8"?>
<table xmlns="http://schemas.openxmlformats.org/spreadsheetml/2006/main" id="26" name="Tabla6121527" displayName="Tabla6121527" ref="B64:N67" totalsRowShown="0" headerRowDxfId="261" headerRowBorderDxfId="260" tableBorderDxfId="259" totalsRowBorderDxfId="258">
  <tableColumns count="13">
    <tableColumn id="1" name="INTERVIENCIONES CON PARADA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9.xml><?xml version="1.0" encoding="utf-8"?>
<table xmlns="http://schemas.openxmlformats.org/spreadsheetml/2006/main" id="17" name="Tabla612152718" displayName="Tabla612152718" ref="B75:C78" totalsRowShown="0" headerRowDxfId="257" headerRowBorderDxfId="256" tableBorderDxfId="255" totalsRowBorderDxfId="254">
  <tableColumns count="2">
    <tableColumn id="1" name="CUMPLIMIENTO ANUAL AUDITORIAS 2015" dataDxfId="253"/>
    <tableColumn id="2" name="TOTAL" dataDxfId="252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B64:N70" totalsRowShown="0" headerRowDxfId="648" headerRowBorderDxfId="647" tableBorderDxfId="646" totalsRowBorderDxfId="645">
  <tableColumns count="13">
    <tableColumn id="1" name="2015" dataDxfId="644"/>
    <tableColumn id="2" name="ENERO" dataDxfId="643">
      <calculatedColumnFormula>DATOS!D$3</calculatedColumnFormula>
    </tableColumn>
    <tableColumn id="3" name="FEBRERO" dataDxfId="642">
      <calculatedColumnFormula>DATOS!F$81</calculatedColumnFormula>
    </tableColumn>
    <tableColumn id="4" name="MARZO" dataDxfId="641"/>
    <tableColumn id="5" name="ABRIL" dataDxfId="640">
      <calculatedColumnFormula>DATOS!J$81</calculatedColumnFormula>
    </tableColumn>
    <tableColumn id="6" name="MAYO" dataDxfId="639">
      <calculatedColumnFormula>DATOS!L$81</calculatedColumnFormula>
    </tableColumn>
    <tableColumn id="7" name="JUNIO" dataDxfId="638"/>
    <tableColumn id="8" name="JULIO" dataDxfId="637">
      <calculatedColumnFormula>DATOS!P$81</calculatedColumnFormula>
    </tableColumn>
    <tableColumn id="9" name="AGOSTO" dataDxfId="636">
      <calculatedColumnFormula>DATOS!R$81</calculatedColumnFormula>
    </tableColumn>
    <tableColumn id="10" name="SEPTIEMBRE" dataDxfId="635"/>
    <tableColumn id="11" name="OCTUBRE" dataDxfId="634">
      <calculatedColumnFormula>DATOS!V$81</calculatedColumnFormula>
    </tableColumn>
    <tableColumn id="12" name="NOVIEMBRE" dataDxfId="633">
      <calculatedColumnFormula>DATOS!X$81</calculatedColumnFormula>
    </tableColumn>
    <tableColumn id="13" name="DICIEMBRE" dataDxfId="632"/>
  </tableColumns>
  <tableStyleInfo name="TableStyleMedium5" showFirstColumn="0" showLastColumn="0" showRowStripes="1" showColumnStripes="0"/>
</table>
</file>

<file path=xl/tables/table50.xml><?xml version="1.0" encoding="utf-8"?>
<table xmlns="http://schemas.openxmlformats.org/spreadsheetml/2006/main" id="18" name="Tabla61215271819" displayName="Tabla61215271819" ref="B86:C89" totalsRowShown="0" headerRowDxfId="251" headerRowBorderDxfId="250" tableBorderDxfId="249" totalsRowBorderDxfId="248">
  <tableColumns count="2">
    <tableColumn id="1" name="% ACCIONES FUERA PLAZO 2015" dataDxfId="247"/>
    <tableColumn id="2" name="TOTAL" dataDxfId="246"/>
  </tableColumns>
  <tableStyleInfo name="TableStyleMedium5" showFirstColumn="0" showLastColumn="0" showRowStripes="1" showColumnStripes="0"/>
</table>
</file>

<file path=xl/tables/table51.xml><?xml version="1.0" encoding="utf-8"?>
<table xmlns="http://schemas.openxmlformats.org/spreadsheetml/2006/main" id="19" name="Tabla6121527181920" displayName="Tabla6121527181920" ref="B96:C99" totalsRowShown="0" headerRowDxfId="245" headerRowBorderDxfId="244" tableBorderDxfId="243" totalsRowBorderDxfId="242">
  <tableColumns count="2">
    <tableColumn id="1" name="TASA CUMPLIMIENTO CALIBRACIONES 2015" dataDxfId="241"/>
    <tableColumn id="2" name="TOTAL" dataDxfId="240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id="20" name="Tabla612152721" displayName="Tabla612152721" ref="B106:N110" totalsRowShown="0" headerRowDxfId="239" headerRowBorderDxfId="238" tableBorderDxfId="237" totalsRowBorderDxfId="236">
  <tableColumns count="13">
    <tableColumn id="1" name="NºHORAS PARADA PRDTVA. POR MANTENMTOS CORRECTIVOS Y MAQ."/>
    <tableColumn id="2" name="ENERO" dataDxfId="235">
      <calculatedColumnFormula>DATOS!C57</calculatedColumnFormula>
    </tableColumn>
    <tableColumn id="3" name="FEBRERO" dataDxfId="234">
      <calculatedColumnFormula>DATOS!E57</calculatedColumnFormula>
    </tableColumn>
    <tableColumn id="4" name="MARZO"/>
    <tableColumn id="5" name="ABRIL" dataDxfId="233">
      <calculatedColumnFormula>DATOS!I57</calculatedColumnFormula>
    </tableColumn>
    <tableColumn id="6" name="MAYO" dataDxfId="232">
      <calculatedColumnFormula>DATOS!K57</calculatedColumnFormula>
    </tableColumn>
    <tableColumn id="7" name="JUNIO"/>
    <tableColumn id="8" name="JULIO" dataDxfId="231">
      <calculatedColumnFormula>DATOS!O57</calculatedColumnFormula>
    </tableColumn>
    <tableColumn id="9" name="AGOSTO" dataDxfId="230">
      <calculatedColumnFormula>DATOS!Q57</calculatedColumnFormula>
    </tableColumn>
    <tableColumn id="10" name="SEPTIEMBRE"/>
    <tableColumn id="11" name="OCTUBRE" dataDxfId="229">
      <calculatedColumnFormula>DATOS!U57</calculatedColumnFormula>
    </tableColumn>
    <tableColumn id="12" name="NOVIEMBRE" dataDxfId="228">
      <calculatedColumnFormula>DATOS!W57</calculatedColumnFormula>
    </tableColumn>
    <tableColumn id="13" name="DICIEMBRE"/>
  </tableColumns>
  <tableStyleInfo name="TableStyleMedium5" showFirstColumn="0" showLastColumn="0" showRowStripes="1" showColumnStripes="0"/>
</table>
</file>

<file path=xl/tables/table53.xml><?xml version="1.0" encoding="utf-8"?>
<table xmlns="http://schemas.openxmlformats.org/spreadsheetml/2006/main" id="59" name="Tabla3112460" displayName="Tabla3112460" ref="B30:N36" totalsRowShown="0" headerRowDxfId="227" headerRowBorderDxfId="226" tableBorderDxfId="225">
  <tableColumns count="13">
    <tableColumn id="1" name="COSTE NO CALIDAD 2015"/>
    <tableColumn id="2" name="ENERO" dataDxfId="224">
      <calculatedColumnFormula>DATOS!C$3</calculatedColumnFormula>
    </tableColumn>
    <tableColumn id="3" name="FEBRERO" dataDxfId="223">
      <calculatedColumnFormula>DATOS!E$49</calculatedColumnFormula>
    </tableColumn>
    <tableColumn id="4" name="MARZO" dataDxfId="222">
      <calculatedColumnFormula>DATOS!G$49</calculatedColumnFormula>
    </tableColumn>
    <tableColumn id="5" name="ABRIL" dataDxfId="221">
      <calculatedColumnFormula>DATOS!I$3</calculatedColumnFormula>
    </tableColumn>
    <tableColumn id="6" name="MAYO" dataDxfId="220">
      <calculatedColumnFormula>DATOS!K$49</calculatedColumnFormula>
    </tableColumn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4.xml><?xml version="1.0" encoding="utf-8"?>
<table xmlns="http://schemas.openxmlformats.org/spreadsheetml/2006/main" id="61" name="Tabla612152762" displayName="Tabla612152762" ref="B117:N120" totalsRowShown="0" headerRowDxfId="219" headerRowBorderDxfId="218" tableBorderDxfId="217" totalsRowBorderDxfId="216">
  <tableColumns count="13">
    <tableColumn id="1" name="CONTESTACIÓN INC EN FECHA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5.xml><?xml version="1.0" encoding="utf-8"?>
<table xmlns="http://schemas.openxmlformats.org/spreadsheetml/2006/main" id="65" name="Tabla61215276266" displayName="Tabla61215276266" ref="B127:N130" totalsRowShown="0" headerRowDxfId="215" headerRowBorderDxfId="214" tableBorderDxfId="213" totalsRowBorderDxfId="212">
  <tableColumns count="13">
    <tableColumn id="1" name="COPIAS DE SEGURIDAD EN FECHA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6.xml><?xml version="1.0" encoding="utf-8"?>
<table xmlns="http://schemas.openxmlformats.org/spreadsheetml/2006/main" id="66" name="Tabla6121527181967" displayName="Tabla6121527181967" ref="B140:C143" totalsRowShown="0" headerRowDxfId="211" headerRowBorderDxfId="210" tableBorderDxfId="209" totalsRowBorderDxfId="208">
  <tableColumns count="2">
    <tableColumn id="1" name="Nº DE DOCUMENTOS NO CONTROLADOS" dataDxfId="207"/>
    <tableColumn id="2" name="TOTAL" dataDxfId="206"/>
  </tableColumns>
  <tableStyleInfo name="TableStyleMedium5" showFirstColumn="0" showLastColumn="0" showRowStripes="1" showColumnStripes="0"/>
</table>
</file>

<file path=xl/tables/table57.xml><?xml version="1.0" encoding="utf-8"?>
<table xmlns="http://schemas.openxmlformats.org/spreadsheetml/2006/main" id="67" name="Tabla612152718196768" displayName="Tabla612152718196768" ref="B152:C155" totalsRowShown="0" headerRowDxfId="205" headerRowBorderDxfId="204" tableBorderDxfId="203" totalsRowBorderDxfId="202">
  <tableColumns count="2">
    <tableColumn id="1" name="% VERIFICACIONES INTERNAS" dataDxfId="201"/>
    <tableColumn id="2" name="TOTAL" dataDxfId="200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id="60" name="Tabla61215272161" displayName="Tabla61215272161" ref="B163:N168" totalsRowShown="0" headerRowDxfId="199" headerRowBorderDxfId="198" tableBorderDxfId="197" totalsRowBorderDxfId="196">
  <tableColumns count="13">
    <tableColumn id="1" name="Nº ORDENES PLANIFICADAS Vs EJECUTADAS"/>
    <tableColumn id="2" name="ENERO" dataDxfId="195">
      <calculatedColumnFormula>DATOS!C114</calculatedColumnFormula>
    </tableColumn>
    <tableColumn id="3" name="FEBRERO" dataDxfId="194">
      <calculatedColumnFormula>DATOS!E114</calculatedColumnFormula>
    </tableColumn>
    <tableColumn id="4" name="MARZO"/>
    <tableColumn id="5" name="ABRIL" dataDxfId="193">
      <calculatedColumnFormula>DATOS!I114</calculatedColumnFormula>
    </tableColumn>
    <tableColumn id="6" name="MAYO" dataDxfId="192">
      <calculatedColumnFormula>DATOS!K114</calculatedColumnFormula>
    </tableColumn>
    <tableColumn id="7" name="JUNIO"/>
    <tableColumn id="8" name="JULIO" dataDxfId="191">
      <calculatedColumnFormula>DATOS!O114</calculatedColumnFormula>
    </tableColumn>
    <tableColumn id="9" name="AGOSTO" dataDxfId="190">
      <calculatedColumnFormula>DATOS!Q114</calculatedColumnFormula>
    </tableColumn>
    <tableColumn id="10" name="SEPTIEMBRE"/>
    <tableColumn id="11" name="OCTUBRE" dataDxfId="189">
      <calculatedColumnFormula>DATOS!U114</calculatedColumnFormula>
    </tableColumn>
    <tableColumn id="12" name="NOVIEMBRE" dataDxfId="188">
      <calculatedColumnFormula>DATOS!W114</calculatedColumnFormula>
    </tableColumn>
    <tableColumn id="13" name="DICIEMBRE"/>
  </tableColumns>
  <tableStyleInfo name="TableStyleMedium5" showFirstColumn="0" showLastColumn="0" showRowStripes="1" showColumnStripes="0"/>
</table>
</file>

<file path=xl/tables/table59.xml><?xml version="1.0" encoding="utf-8"?>
<table xmlns="http://schemas.openxmlformats.org/spreadsheetml/2006/main" id="68" name="Tabla6121527216169" displayName="Tabla6121527216169" ref="B176:N181" totalsRowShown="0" headerRowDxfId="187" headerRowBorderDxfId="186" tableBorderDxfId="185" totalsRowBorderDxfId="184">
  <tableColumns count="13">
    <tableColumn id="1" name="Nº CORRECTIVOS DERIVADOS DE PREDICTIVOS"/>
    <tableColumn id="2" name="ENERO" dataDxfId="183">
      <calculatedColumnFormula>DATOS!C127</calculatedColumnFormula>
    </tableColumn>
    <tableColumn id="3" name="FEBRERO" dataDxfId="182">
      <calculatedColumnFormula>DATOS!E127</calculatedColumnFormula>
    </tableColumn>
    <tableColumn id="4" name="MARZO"/>
    <tableColumn id="5" name="ABRIL" dataDxfId="181">
      <calculatedColumnFormula>DATOS!I127</calculatedColumnFormula>
    </tableColumn>
    <tableColumn id="6" name="MAYO" dataDxfId="180">
      <calculatedColumnFormula>DATOS!K127</calculatedColumnFormula>
    </tableColumn>
    <tableColumn id="7" name="JUNIO"/>
    <tableColumn id="8" name="JULIO" dataDxfId="179">
      <calculatedColumnFormula>DATOS!O127</calculatedColumnFormula>
    </tableColumn>
    <tableColumn id="9" name="AGOSTO" dataDxfId="178">
      <calculatedColumnFormula>DATOS!Q127</calculatedColumnFormula>
    </tableColumn>
    <tableColumn id="10" name="SEPTIEMBRE"/>
    <tableColumn id="11" name="OCTUBRE" dataDxfId="177">
      <calculatedColumnFormula>DATOS!U127</calculatedColumnFormula>
    </tableColumn>
    <tableColumn id="12" name="NOVIEMBRE" dataDxfId="176">
      <calculatedColumnFormula>DATOS!W127</calculatedColumnFormula>
    </tableColumn>
    <tableColumn id="13" name="DICIEMBRE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11" name="Tabla612" displayName="Tabla612" ref="B74:C77" totalsRowShown="0" headerRowDxfId="631" headerRowBorderDxfId="630" tableBorderDxfId="629" totalsRowBorderDxfId="628">
  <tableColumns count="2">
    <tableColumn id="1" name="2015"/>
    <tableColumn id="2" name="TOTAL" dataDxfId="627"/>
  </tableColumns>
  <tableStyleInfo name="TableStyleMedium5" showFirstColumn="0" showLastColumn="0" showRowStripes="1" showColumnStripes="0"/>
</table>
</file>

<file path=xl/tables/table60.xml><?xml version="1.0" encoding="utf-8"?>
<table xmlns="http://schemas.openxmlformats.org/spreadsheetml/2006/main" id="25" name="Tabla61426" displayName="Tabla61426" ref="B54:N60" totalsRowShown="0" headerRowDxfId="175" headerRowBorderDxfId="174" tableBorderDxfId="173" totalsRowBorderDxfId="172">
  <tableColumns count="13">
    <tableColumn id="1" name="MEDIA INTERVENCIONES CORRECTIVAS POR MAQUINA 2015" dataDxfId="171"/>
    <tableColumn id="2" name="ENERO" dataDxfId="170">
      <calculatedColumnFormula>C53/C54</calculatedColumnFormula>
    </tableColumn>
    <tableColumn id="3" name="FEBRERO" dataDxfId="169"/>
    <tableColumn id="4" name="MARZO" dataDxfId="168"/>
    <tableColumn id="5" name="ABRIL" dataDxfId="167"/>
    <tableColumn id="6" name="MAYO" dataDxfId="166"/>
    <tableColumn id="7" name="JUNIO" dataDxfId="165"/>
    <tableColumn id="8" name="JULIO" dataDxfId="164"/>
    <tableColumn id="9" name="AGOSTO" dataDxfId="163"/>
    <tableColumn id="10" name="SEPTIEMBRE" dataDxfId="162"/>
    <tableColumn id="11" name="OCTUBRE" dataDxfId="161"/>
    <tableColumn id="12" name="NOVIEMBRE" dataDxfId="160"/>
    <tableColumn id="13" name="DICIEMBRE" dataDxfId="159"/>
  </tableColumns>
  <tableStyleInfo name="TableStyleMedium5" showFirstColumn="0" showLastColumn="0" showRowStripes="1" showColumnStripes="0"/>
</table>
</file>

<file path=xl/tables/table61.xml><?xml version="1.0" encoding="utf-8"?>
<table xmlns="http://schemas.openxmlformats.org/spreadsheetml/2006/main" id="49" name="Tabla192250" displayName="Tabla192250" ref="B6:N9" totalsRowShown="0" headerRowDxfId="158" headerRowBorderDxfId="157" tableBorderDxfId="156">
  <tableColumns count="13">
    <tableColumn id="1" name="RECHAZOS INTERNOS 2013" dataDxfId="155"/>
    <tableColumn id="2" name="ENERO" dataDxfId="154"/>
    <tableColumn id="3" name="FEBRERO" dataDxfId="153"/>
    <tableColumn id="4" name="MARZO" dataDxfId="152"/>
    <tableColumn id="5" name="ABRIL" dataDxfId="151"/>
    <tableColumn id="6" name="MAYO" dataDxfId="150"/>
    <tableColumn id="7" name="JUNIO" dataDxfId="149"/>
    <tableColumn id="8" name="JULIO" dataDxfId="148"/>
    <tableColumn id="9" name="AGOSTO" dataDxfId="147"/>
    <tableColumn id="10" name="SEPTIEMBRE" dataDxfId="146"/>
    <tableColumn id="11" name="OCTUBRE" dataDxfId="145"/>
    <tableColumn id="12" name="NOVIEMBRE" dataDxfId="144"/>
    <tableColumn id="13" name="DICIEMBRE" dataDxfId="143"/>
  </tableColumns>
  <tableStyleInfo name="TableStyleMedium5" showFirstColumn="0" showLastColumn="0" showRowStripes="1" showColumnStripes="0"/>
</table>
</file>

<file path=xl/tables/table62.xml><?xml version="1.0" encoding="utf-8"?>
<table xmlns="http://schemas.openxmlformats.org/spreadsheetml/2006/main" id="50" name="Tabla2102351" displayName="Tabla2102351" ref="B13:N16" totalsRowShown="0" headerRowDxfId="142" headerRowBorderDxfId="141" tableBorderDxfId="140">
  <tableColumns count="13">
    <tableColumn id="1" name="RECHAZOS EXTERNOS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3.xml><?xml version="1.0" encoding="utf-8"?>
<table xmlns="http://schemas.openxmlformats.org/spreadsheetml/2006/main" id="51" name="Tabla3112452" displayName="Tabla3112452" ref="B20:N26" totalsRowShown="0" headerRowDxfId="139" headerRowBorderDxfId="138" tableBorderDxfId="137">
  <tableColumns count="13">
    <tableColumn id="1" name="COSTE NO CALIDAD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id="52" name="Tabla5132553" displayName="Tabla5132553" ref="B30:N34" totalsRowShown="0" headerRowDxfId="136" headerRowBorderDxfId="135" tableBorderDxfId="134">
  <tableColumns count="13">
    <tableColumn id="1" name="INCIDNTES. CON DESPLAZAMTO A INSTALACIONES DE CLIENTES 2013"/>
    <tableColumn id="2" name="ENERO" dataDxfId="133">
      <calculatedColumnFormula>DATOS!D$50</calculatedColumnFormula>
    </tableColumn>
    <tableColumn id="3" name="FEBRERO" dataDxfId="132">
      <calculatedColumnFormula>DATOS!F$50</calculatedColumnFormula>
    </tableColumn>
    <tableColumn id="4" name="MARZO"/>
    <tableColumn id="5" name="ABRIL" dataDxfId="131">
      <calculatedColumnFormula>DATOS!J$50</calculatedColumnFormula>
    </tableColumn>
    <tableColumn id="6" name="MAYO" dataDxfId="130">
      <calculatedColumnFormula>DATOS!L$50</calculatedColumnFormula>
    </tableColumn>
    <tableColumn id="7" name="JUNIO"/>
    <tableColumn id="8" name="JULIO" dataDxfId="129">
      <calculatedColumnFormula>DATOS!P$50</calculatedColumnFormula>
    </tableColumn>
    <tableColumn id="9" name="AGOSTO" dataDxfId="128">
      <calculatedColumnFormula>DATOS!R$50</calculatedColumnFormula>
    </tableColumn>
    <tableColumn id="10" name="SEPTIEMBRE"/>
    <tableColumn id="11" name="OCTUBRE" dataDxfId="127">
      <calculatedColumnFormula>DATOS!V$50</calculatedColumnFormula>
    </tableColumn>
    <tableColumn id="12" name="NOVIEMBRE" dataDxfId="126">
      <calculatedColumnFormula>DATOS!X$50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65.xml><?xml version="1.0" encoding="utf-8"?>
<table xmlns="http://schemas.openxmlformats.org/spreadsheetml/2006/main" id="53" name="Tabla6142654" displayName="Tabla6142654" ref="B38:N44" totalsRowShown="0" headerRowDxfId="125" headerRowBorderDxfId="124" tableBorderDxfId="123" totalsRowBorderDxfId="122">
  <tableColumns count="13">
    <tableColumn id="1" name="MEDIA INTERVENCIONES CORRECTIVAS POR MAQUINA 2013" dataDxfId="121"/>
    <tableColumn id="2" name="ENERO" dataDxfId="120">
      <calculatedColumnFormula>C37/C38</calculatedColumnFormula>
    </tableColumn>
    <tableColumn id="3" name="FEBRERO" dataDxfId="119"/>
    <tableColumn id="4" name="MARZO" dataDxfId="118"/>
    <tableColumn id="5" name="ABRIL" dataDxfId="117"/>
    <tableColumn id="6" name="MAYO" dataDxfId="116"/>
    <tableColumn id="7" name="JUNIO" dataDxfId="115"/>
    <tableColumn id="8" name="JULIO" dataDxfId="114"/>
    <tableColumn id="9" name="AGOSTO" dataDxfId="113"/>
    <tableColumn id="10" name="SEPTIEMBRE" dataDxfId="112"/>
    <tableColumn id="11" name="OCTUBRE" dataDxfId="111"/>
    <tableColumn id="12" name="NOVIEMBRE" dataDxfId="110"/>
    <tableColumn id="13" name="DICIEMBRE" dataDxfId="109"/>
  </tableColumns>
  <tableStyleInfo name="TableStyleMedium5" showFirstColumn="0" showLastColumn="0" showRowStripes="1" showColumnStripes="0"/>
</table>
</file>

<file path=xl/tables/table66.xml><?xml version="1.0" encoding="utf-8"?>
<table xmlns="http://schemas.openxmlformats.org/spreadsheetml/2006/main" id="54" name="Tabla612152755" displayName="Tabla612152755" ref="B48:N51" totalsRowShown="0" headerRowDxfId="108" headerRowBorderDxfId="107" tableBorderDxfId="106" totalsRowBorderDxfId="105">
  <tableColumns count="13">
    <tableColumn id="1" name="INTERVIENCIONES CON PARADA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7.xml><?xml version="1.0" encoding="utf-8"?>
<table xmlns="http://schemas.openxmlformats.org/spreadsheetml/2006/main" id="55" name="Tabla61215271856" displayName="Tabla61215271856" ref="B59:C62" totalsRowShown="0" headerRowDxfId="104" headerRowBorderDxfId="103" tableBorderDxfId="102" totalsRowBorderDxfId="101">
  <tableColumns count="2">
    <tableColumn id="1" name="CUMPLIMIENTO ANUAL AUDITORIAS 2013" dataDxfId="100"/>
    <tableColumn id="2" name="TOTAL" dataDxfId="99"/>
  </tableColumns>
  <tableStyleInfo name="TableStyleMedium5" showFirstColumn="0" showLastColumn="0" showRowStripes="1" showColumnStripes="0"/>
</table>
</file>

<file path=xl/tables/table68.xml><?xml version="1.0" encoding="utf-8"?>
<table xmlns="http://schemas.openxmlformats.org/spreadsheetml/2006/main" id="56" name="Tabla6121527181957" displayName="Tabla6121527181957" ref="B70:C73" totalsRowShown="0" headerRowDxfId="98" headerRowBorderDxfId="97" tableBorderDxfId="96" totalsRowBorderDxfId="95">
  <tableColumns count="2">
    <tableColumn id="1" name="% ACCIONES FUERA PLAZO 2013" dataDxfId="94"/>
    <tableColumn id="2" name="TOTAL" dataDxfId="93"/>
  </tableColumns>
  <tableStyleInfo name="TableStyleMedium5" showFirstColumn="0" showLastColumn="0" showRowStripes="1" showColumnStripes="0"/>
</table>
</file>

<file path=xl/tables/table69.xml><?xml version="1.0" encoding="utf-8"?>
<table xmlns="http://schemas.openxmlformats.org/spreadsheetml/2006/main" id="57" name="Tabla612152718192058" displayName="Tabla612152718192058" ref="B80:C83" totalsRowShown="0" headerRowDxfId="92" headerRowBorderDxfId="91" tableBorderDxfId="90" totalsRowBorderDxfId="89">
  <tableColumns count="2">
    <tableColumn id="1" name="Nº CALIBRACIONES FUERA FECHA 2013" dataDxfId="88"/>
    <tableColumn id="2" name="TOTAL" dataDxfId="87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id="27" name="Tabla328" displayName="Tabla328" ref="B46:C51" totalsRowShown="0" headerRowDxfId="78" headerRowBorderDxfId="79" tableBorderDxfId="80">
  <tableColumns count="2">
    <tableColumn id="1" name="2015"/>
    <tableColumn id="2" name="TOTAL" dataDxfId="81">
      <calculatedColumnFormula>DATOS!C$68</calculatedColumnFormula>
    </tableColumn>
  </tableColumns>
  <tableStyleInfo name="Estilo de tabla 1" showFirstColumn="0" showLastColumn="0" showRowStripes="1" showColumnStripes="0"/>
</table>
</file>

<file path=xl/tables/table70.xml><?xml version="1.0" encoding="utf-8"?>
<table xmlns="http://schemas.openxmlformats.org/spreadsheetml/2006/main" id="58" name="Tabla61215272159" displayName="Tabla61215272159" ref="B90:N94" totalsRowShown="0" headerRowDxfId="86" headerRowBorderDxfId="85" tableBorderDxfId="84" totalsRowBorderDxfId="83">
  <tableColumns count="13">
    <tableColumn id="1" name="NºHORAS PARADA PRDTVA. POR MANTENMTOS CORRECTIVOS Y MAQ."/>
    <tableColumn id="2" name="ENERO" dataDxfId="82">
      <calculatedColumnFormula>DATOS!D57</calculatedColumnFormula>
    </tableColumn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id="28" name="Tabla61229" displayName="Tabla61229" ref="B84:C87" totalsRowShown="0" headerRowDxfId="626" headerRowBorderDxfId="625" tableBorderDxfId="624" totalsRowBorderDxfId="623">
  <tableColumns count="2">
    <tableColumn id="1" name="2015"/>
    <tableColumn id="2" name="TOTAL" dataDxfId="622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id="64" name="Tabla328376265" displayName="Tabla328376265" ref="B102:N106" totalsRowShown="0" headerRowDxfId="621" headerRowBorderDxfId="620" tableBorderDxfId="619">
  <tableColumns count="13">
    <tableColumn id="1" name="2015"/>
    <tableColumn id="2" name="ENERO" dataDxfId="618">
      <calculatedColumnFormula>DATOS!C71</calculatedColumnFormula>
    </tableColumn>
    <tableColumn id="3" name="FEBRERO" dataDxfId="617">
      <calculatedColumnFormula>DATOS!E71</calculatedColumnFormula>
    </tableColumn>
    <tableColumn id="4" name="MARZO" dataDxfId="616">
      <calculatedColumnFormula>DATOS!G71</calculatedColumnFormula>
    </tableColumn>
    <tableColumn id="5" name="ABRIL" dataDxfId="615">
      <calculatedColumnFormula>DATOS!J$68</calculatedColumnFormula>
    </tableColumn>
    <tableColumn id="6" name="MAYO" dataDxfId="614">
      <calculatedColumnFormula>DATOS!K71</calculatedColumnFormula>
    </tableColumn>
    <tableColumn id="7" name="JUNIO" dataDxfId="613">
      <calculatedColumnFormula>DATOS!M71</calculatedColumnFormula>
    </tableColumn>
    <tableColumn id="8" name="JULIO" dataDxfId="612">
      <calculatedColumnFormula>DATOS!O71</calculatedColumnFormula>
    </tableColumn>
    <tableColumn id="9" name="AGOSTO" dataDxfId="611">
      <calculatedColumnFormula>DATOS!R$68</calculatedColumnFormula>
    </tableColumn>
    <tableColumn id="10" name="SEPTIEMBRE" dataDxfId="610">
      <calculatedColumnFormula>DATOS!S71</calculatedColumnFormula>
    </tableColumn>
    <tableColumn id="11" name="OCTUBRE" dataDxfId="609">
      <calculatedColumnFormula>DATOS!U71</calculatedColumnFormula>
    </tableColumn>
    <tableColumn id="12" name="NOVIEMBRE" dataDxfId="608">
      <calculatedColumnFormula>DATOS!W71</calculatedColumnFormula>
    </tableColumn>
    <tableColumn id="13" name="DICIEMBRE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0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1.xml"/><Relationship Id="rId5" Type="http://schemas.openxmlformats.org/officeDocument/2006/relationships/comments" Target="../comments11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13" Type="http://schemas.openxmlformats.org/officeDocument/2006/relationships/table" Target="../tables/table8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2.xml"/><Relationship Id="rId12" Type="http://schemas.openxmlformats.org/officeDocument/2006/relationships/table" Target="../tables/table7.xml"/><Relationship Id="rId2" Type="http://schemas.openxmlformats.org/officeDocument/2006/relationships/drawing" Target="../drawings/drawing1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11" Type="http://schemas.openxmlformats.org/officeDocument/2006/relationships/table" Target="../tables/table6.xml"/><Relationship Id="rId5" Type="http://schemas.openxmlformats.org/officeDocument/2006/relationships/image" Target="../media/image1.emf"/><Relationship Id="rId15" Type="http://schemas.openxmlformats.org/officeDocument/2006/relationships/table" Target="../tables/table10.xml"/><Relationship Id="rId10" Type="http://schemas.openxmlformats.org/officeDocument/2006/relationships/table" Target="../tables/table5.xml"/><Relationship Id="rId4" Type="http://schemas.openxmlformats.org/officeDocument/2006/relationships/oleObject" Target="../embeddings/oleObject1.bin"/><Relationship Id="rId9" Type="http://schemas.openxmlformats.org/officeDocument/2006/relationships/table" Target="../tables/table4.xml"/><Relationship Id="rId14" Type="http://schemas.openxmlformats.org/officeDocument/2006/relationships/table" Target="../tables/table9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7.png"/><Relationship Id="rId4" Type="http://schemas.openxmlformats.org/officeDocument/2006/relationships/oleObject" Target="../embeddings/oleObject1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13" Type="http://schemas.openxmlformats.org/officeDocument/2006/relationships/comments" Target="../comments3.xml"/><Relationship Id="rId3" Type="http://schemas.openxmlformats.org/officeDocument/2006/relationships/oleObject" Target="../embeddings/oleObject2.bin"/><Relationship Id="rId7" Type="http://schemas.openxmlformats.org/officeDocument/2006/relationships/table" Target="../tables/table13.xml"/><Relationship Id="rId12" Type="http://schemas.openxmlformats.org/officeDocument/2006/relationships/table" Target="../tables/table18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6" Type="http://schemas.openxmlformats.org/officeDocument/2006/relationships/table" Target="../tables/table12.xml"/><Relationship Id="rId11" Type="http://schemas.openxmlformats.org/officeDocument/2006/relationships/table" Target="../tables/table17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image" Target="../media/image1.emf"/><Relationship Id="rId9" Type="http://schemas.openxmlformats.org/officeDocument/2006/relationships/table" Target="../tables/table15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1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17" Type="http://schemas.openxmlformats.org/officeDocument/2006/relationships/table" Target="../tables/table30.xml"/><Relationship Id="rId2" Type="http://schemas.openxmlformats.org/officeDocument/2006/relationships/drawing" Target="../drawings/drawing3.xml"/><Relationship Id="rId16" Type="http://schemas.openxmlformats.org/officeDocument/2006/relationships/table" Target="../tables/table2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image" Target="../media/image1.emf"/><Relationship Id="rId15" Type="http://schemas.openxmlformats.org/officeDocument/2006/relationships/table" Target="../tables/table28.xml"/><Relationship Id="rId10" Type="http://schemas.openxmlformats.org/officeDocument/2006/relationships/table" Target="../tables/table23.xml"/><Relationship Id="rId4" Type="http://schemas.openxmlformats.org/officeDocument/2006/relationships/oleObject" Target="../embeddings/oleObject3.bin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4.xml"/><Relationship Id="rId13" Type="http://schemas.openxmlformats.org/officeDocument/2006/relationships/table" Target="../tables/table39.xml"/><Relationship Id="rId3" Type="http://schemas.openxmlformats.org/officeDocument/2006/relationships/oleObject" Target="../embeddings/oleObject4.bin"/><Relationship Id="rId7" Type="http://schemas.openxmlformats.org/officeDocument/2006/relationships/table" Target="../tables/table33.xml"/><Relationship Id="rId12" Type="http://schemas.openxmlformats.org/officeDocument/2006/relationships/table" Target="../tables/table3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Relationship Id="rId6" Type="http://schemas.openxmlformats.org/officeDocument/2006/relationships/table" Target="../tables/table32.xml"/><Relationship Id="rId11" Type="http://schemas.openxmlformats.org/officeDocument/2006/relationships/table" Target="../tables/table37.xml"/><Relationship Id="rId5" Type="http://schemas.openxmlformats.org/officeDocument/2006/relationships/table" Target="../tables/table31.xml"/><Relationship Id="rId10" Type="http://schemas.openxmlformats.org/officeDocument/2006/relationships/table" Target="../tables/table36.xml"/><Relationship Id="rId4" Type="http://schemas.openxmlformats.org/officeDocument/2006/relationships/image" Target="../media/image1.emf"/><Relationship Id="rId9" Type="http://schemas.openxmlformats.org/officeDocument/2006/relationships/table" Target="../tables/table35.xml"/><Relationship Id="rId1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4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0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Relationship Id="rId6" Type="http://schemas.openxmlformats.org/officeDocument/2006/relationships/table" Target="../tables/table43.xml"/><Relationship Id="rId5" Type="http://schemas.openxmlformats.org/officeDocument/2006/relationships/table" Target="../tables/table42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6.xml"/><Relationship Id="rId13" Type="http://schemas.openxmlformats.org/officeDocument/2006/relationships/table" Target="../tables/table51.xml"/><Relationship Id="rId18" Type="http://schemas.openxmlformats.org/officeDocument/2006/relationships/table" Target="../tables/table56.xml"/><Relationship Id="rId3" Type="http://schemas.openxmlformats.org/officeDocument/2006/relationships/vmlDrawing" Target="../drawings/vmlDrawing8.vml"/><Relationship Id="rId21" Type="http://schemas.openxmlformats.org/officeDocument/2006/relationships/table" Target="../tables/table59.xml"/><Relationship Id="rId7" Type="http://schemas.openxmlformats.org/officeDocument/2006/relationships/table" Target="../tables/table45.xml"/><Relationship Id="rId12" Type="http://schemas.openxmlformats.org/officeDocument/2006/relationships/table" Target="../tables/table50.xml"/><Relationship Id="rId17" Type="http://schemas.openxmlformats.org/officeDocument/2006/relationships/table" Target="../tables/table55.xml"/><Relationship Id="rId2" Type="http://schemas.openxmlformats.org/officeDocument/2006/relationships/drawing" Target="../drawings/drawing7.xml"/><Relationship Id="rId16" Type="http://schemas.openxmlformats.org/officeDocument/2006/relationships/table" Target="../tables/table54.xml"/><Relationship Id="rId20" Type="http://schemas.openxmlformats.org/officeDocument/2006/relationships/table" Target="../tables/table58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44.xml"/><Relationship Id="rId11" Type="http://schemas.openxmlformats.org/officeDocument/2006/relationships/table" Target="../tables/table49.xml"/><Relationship Id="rId5" Type="http://schemas.openxmlformats.org/officeDocument/2006/relationships/image" Target="../media/image1.emf"/><Relationship Id="rId15" Type="http://schemas.openxmlformats.org/officeDocument/2006/relationships/table" Target="../tables/table53.xml"/><Relationship Id="rId23" Type="http://schemas.openxmlformats.org/officeDocument/2006/relationships/comments" Target="../comments8.xml"/><Relationship Id="rId10" Type="http://schemas.openxmlformats.org/officeDocument/2006/relationships/table" Target="../tables/table48.xml"/><Relationship Id="rId19" Type="http://schemas.openxmlformats.org/officeDocument/2006/relationships/table" Target="../tables/table57.xml"/><Relationship Id="rId4" Type="http://schemas.openxmlformats.org/officeDocument/2006/relationships/oleObject" Target="../embeddings/oleObject7.bin"/><Relationship Id="rId9" Type="http://schemas.openxmlformats.org/officeDocument/2006/relationships/table" Target="../tables/table47.xml"/><Relationship Id="rId14" Type="http://schemas.openxmlformats.org/officeDocument/2006/relationships/table" Target="../tables/table52.xml"/><Relationship Id="rId22" Type="http://schemas.openxmlformats.org/officeDocument/2006/relationships/table" Target="../tables/table6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4.xml"/><Relationship Id="rId13" Type="http://schemas.openxmlformats.org/officeDocument/2006/relationships/table" Target="../tables/table69.xml"/><Relationship Id="rId3" Type="http://schemas.openxmlformats.org/officeDocument/2006/relationships/oleObject" Target="../embeddings/oleObject8.bin"/><Relationship Id="rId7" Type="http://schemas.openxmlformats.org/officeDocument/2006/relationships/table" Target="../tables/table63.xml"/><Relationship Id="rId12" Type="http://schemas.openxmlformats.org/officeDocument/2006/relationships/table" Target="../tables/table68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Relationship Id="rId6" Type="http://schemas.openxmlformats.org/officeDocument/2006/relationships/table" Target="../tables/table62.xml"/><Relationship Id="rId11" Type="http://schemas.openxmlformats.org/officeDocument/2006/relationships/table" Target="../tables/table67.xml"/><Relationship Id="rId5" Type="http://schemas.openxmlformats.org/officeDocument/2006/relationships/table" Target="../tables/table61.xml"/><Relationship Id="rId15" Type="http://schemas.openxmlformats.org/officeDocument/2006/relationships/comments" Target="../comments9.xml"/><Relationship Id="rId10" Type="http://schemas.openxmlformats.org/officeDocument/2006/relationships/table" Target="../tables/table66.xml"/><Relationship Id="rId4" Type="http://schemas.openxmlformats.org/officeDocument/2006/relationships/image" Target="../media/image1.emf"/><Relationship Id="rId9" Type="http://schemas.openxmlformats.org/officeDocument/2006/relationships/table" Target="../tables/table65.xml"/><Relationship Id="rId14" Type="http://schemas.openxmlformats.org/officeDocument/2006/relationships/table" Target="../tables/table7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0000"/>
    <pageSetUpPr fitToPage="1"/>
  </sheetPr>
  <dimension ref="A1:AY264"/>
  <sheetViews>
    <sheetView zoomScale="70" zoomScaleNormal="70" workbookViewId="0">
      <pane xSplit="2" ySplit="1" topLeftCell="C54" activePane="bottomRight" state="frozen"/>
      <selection pane="topRight" activeCell="C1" sqref="C1"/>
      <selection pane="bottomLeft" activeCell="A2" sqref="A2"/>
      <selection pane="bottomRight" activeCell="C72" sqref="C72"/>
    </sheetView>
  </sheetViews>
  <sheetFormatPr baseColWidth="10" defaultRowHeight="15" x14ac:dyDescent="0.25"/>
  <cols>
    <col min="1" max="1" width="59" style="425" customWidth="1"/>
    <col min="2" max="2" width="22.42578125" style="425" customWidth="1"/>
    <col min="3" max="3" width="14.5703125" style="425" customWidth="1"/>
    <col min="4" max="5" width="14.85546875" style="425" customWidth="1"/>
    <col min="6" max="7" width="16.140625" style="425" customWidth="1"/>
    <col min="8" max="9" width="15" style="425" customWidth="1"/>
    <col min="10" max="11" width="14.85546875" style="425" customWidth="1"/>
    <col min="12" max="13" width="16.85546875" style="425" customWidth="1"/>
    <col min="14" max="15" width="15.7109375" style="425" customWidth="1"/>
    <col min="16" max="16" width="16.42578125" style="425" bestFit="1" customWidth="1"/>
    <col min="17" max="17" width="14.7109375" style="425" customWidth="1"/>
    <col min="18" max="19" width="15.42578125" style="425" customWidth="1"/>
    <col min="20" max="21" width="15.5703125" style="425" customWidth="1"/>
    <col min="22" max="23" width="16.140625" style="425" customWidth="1"/>
    <col min="24" max="24" width="15.28515625" style="425" customWidth="1"/>
    <col min="25" max="25" width="16" style="425" bestFit="1" customWidth="1"/>
    <col min="26" max="26" width="15.7109375" style="425" customWidth="1"/>
    <col min="27" max="28" width="17.140625" style="425" bestFit="1" customWidth="1"/>
    <col min="29" max="29" width="16.140625" style="425" customWidth="1"/>
    <col min="30" max="31" width="16.7109375" style="425" customWidth="1"/>
    <col min="32" max="33" width="13.85546875" style="425" customWidth="1"/>
    <col min="34" max="35" width="16.85546875" style="425" customWidth="1"/>
    <col min="36" max="38" width="13.85546875" style="425" customWidth="1"/>
    <col min="39" max="39" width="14.5703125" style="425" bestFit="1" customWidth="1"/>
    <col min="40" max="49" width="13.85546875" style="425" customWidth="1"/>
    <col min="50" max="50" width="17.7109375" style="425" customWidth="1"/>
    <col min="51" max="51" width="14.28515625" style="425" bestFit="1" customWidth="1"/>
    <col min="52" max="16384" width="11.42578125" style="425"/>
  </cols>
  <sheetData>
    <row r="1" spans="1:30" ht="21.75" customHeight="1" thickTop="1" thickBot="1" x14ac:dyDescent="0.35">
      <c r="A1" s="1534" t="s">
        <v>127</v>
      </c>
      <c r="B1" s="424"/>
      <c r="C1" s="1536" t="s">
        <v>128</v>
      </c>
      <c r="D1" s="1532"/>
      <c r="E1" s="1528" t="s">
        <v>129</v>
      </c>
      <c r="F1" s="1532"/>
      <c r="G1" s="1528" t="s">
        <v>130</v>
      </c>
      <c r="H1" s="1532"/>
      <c r="I1" s="1528" t="s">
        <v>131</v>
      </c>
      <c r="J1" s="1532"/>
      <c r="K1" s="1528" t="s">
        <v>132</v>
      </c>
      <c r="L1" s="1532"/>
      <c r="M1" s="1528" t="s">
        <v>133</v>
      </c>
      <c r="N1" s="1532"/>
      <c r="O1" s="1528" t="s">
        <v>134</v>
      </c>
      <c r="P1" s="1532"/>
      <c r="Q1" s="1528" t="s">
        <v>135</v>
      </c>
      <c r="R1" s="1532"/>
      <c r="S1" s="1528" t="s">
        <v>136</v>
      </c>
      <c r="T1" s="1532"/>
      <c r="U1" s="1528" t="s">
        <v>137</v>
      </c>
      <c r="V1" s="1532"/>
      <c r="W1" s="1528" t="s">
        <v>138</v>
      </c>
      <c r="X1" s="1532"/>
      <c r="Y1" s="1528" t="s">
        <v>139</v>
      </c>
      <c r="Z1" s="1529"/>
      <c r="AA1" s="1532" t="s">
        <v>140</v>
      </c>
      <c r="AB1" s="1533"/>
      <c r="AC1" s="1506" t="s">
        <v>686</v>
      </c>
      <c r="AD1" s="1507"/>
    </row>
    <row r="2" spans="1:30" ht="21.75" customHeight="1" thickTop="1" thickBot="1" x14ac:dyDescent="0.35">
      <c r="A2" s="1535"/>
      <c r="B2" s="772"/>
      <c r="C2" s="773" t="s">
        <v>682</v>
      </c>
      <c r="D2" s="785" t="s">
        <v>683</v>
      </c>
      <c r="E2" s="798" t="s">
        <v>682</v>
      </c>
      <c r="F2" s="785" t="s">
        <v>683</v>
      </c>
      <c r="G2" s="798" t="s">
        <v>682</v>
      </c>
      <c r="H2" s="785" t="s">
        <v>683</v>
      </c>
      <c r="I2" s="798" t="s">
        <v>682</v>
      </c>
      <c r="J2" s="785" t="s">
        <v>683</v>
      </c>
      <c r="K2" s="798" t="s">
        <v>682</v>
      </c>
      <c r="L2" s="785" t="s">
        <v>683</v>
      </c>
      <c r="M2" s="798" t="s">
        <v>682</v>
      </c>
      <c r="N2" s="785" t="s">
        <v>683</v>
      </c>
      <c r="O2" s="798" t="s">
        <v>682</v>
      </c>
      <c r="P2" s="785" t="s">
        <v>683</v>
      </c>
      <c r="Q2" s="798" t="s">
        <v>682</v>
      </c>
      <c r="R2" s="785" t="s">
        <v>683</v>
      </c>
      <c r="S2" s="798" t="s">
        <v>682</v>
      </c>
      <c r="T2" s="785" t="s">
        <v>683</v>
      </c>
      <c r="U2" s="798" t="s">
        <v>682</v>
      </c>
      <c r="V2" s="785" t="s">
        <v>683</v>
      </c>
      <c r="W2" s="798" t="s">
        <v>682</v>
      </c>
      <c r="X2" s="785" t="s">
        <v>683</v>
      </c>
      <c r="Y2" s="798" t="s">
        <v>682</v>
      </c>
      <c r="Z2" s="785" t="s">
        <v>683</v>
      </c>
      <c r="AA2" s="798" t="s">
        <v>682</v>
      </c>
      <c r="AB2" s="785" t="s">
        <v>683</v>
      </c>
      <c r="AC2" s="1508"/>
      <c r="AD2" s="1509"/>
    </row>
    <row r="3" spans="1:30" ht="24" customHeight="1" thickTop="1" thickBot="1" x14ac:dyDescent="0.3">
      <c r="A3" s="426" t="s">
        <v>307</v>
      </c>
      <c r="B3" s="1616"/>
      <c r="C3" s="800">
        <v>238460.23</v>
      </c>
      <c r="D3" s="799">
        <v>100491.06</v>
      </c>
      <c r="E3" s="809">
        <v>215170.18</v>
      </c>
      <c r="F3" s="799">
        <v>140829.41</v>
      </c>
      <c r="G3" s="809">
        <v>249933.64</v>
      </c>
      <c r="H3" s="799">
        <v>78383.17</v>
      </c>
      <c r="I3" s="809">
        <v>213930.04</v>
      </c>
      <c r="J3" s="799">
        <v>115177.02</v>
      </c>
      <c r="K3" s="809">
        <v>249029.69</v>
      </c>
      <c r="L3" s="799">
        <v>131578.49</v>
      </c>
      <c r="M3" s="809">
        <v>300128.49</v>
      </c>
      <c r="N3" s="799">
        <v>146938.93</v>
      </c>
      <c r="O3" s="809">
        <v>329301.73</v>
      </c>
      <c r="P3" s="799">
        <v>1171781.1100000001</v>
      </c>
      <c r="Q3" s="809">
        <v>60396.19</v>
      </c>
      <c r="R3" s="799">
        <v>15263.97</v>
      </c>
      <c r="S3" s="809">
        <v>285699.76</v>
      </c>
      <c r="T3" s="799">
        <v>163103.23000000001</v>
      </c>
      <c r="U3" s="809">
        <v>273689.55</v>
      </c>
      <c r="V3" s="799">
        <v>168743.54</v>
      </c>
      <c r="W3" s="809">
        <v>249051.41</v>
      </c>
      <c r="X3" s="799">
        <v>154602.73000000001</v>
      </c>
      <c r="Y3" s="809">
        <v>113243.67</v>
      </c>
      <c r="Z3" s="799">
        <v>49042.68</v>
      </c>
      <c r="AA3" s="404">
        <f>C3+E3+G3+I3+K3+M3+O3+Q3+S3+U3+W3+Y3</f>
        <v>2778034.58</v>
      </c>
      <c r="AB3" s="404">
        <f>D3+F3+H3+J3+L3+N3+P3+R3+T3+V3+X3+Z3</f>
        <v>2435935.3400000003</v>
      </c>
      <c r="AC3" s="1504">
        <f>AA3+AB3</f>
        <v>5213969.92</v>
      </c>
      <c r="AD3" s="1505"/>
    </row>
    <row r="4" spans="1:30" ht="24" customHeight="1" thickTop="1" thickBot="1" x14ac:dyDescent="0.3">
      <c r="A4" s="426" t="s">
        <v>846</v>
      </c>
      <c r="B4" s="1538"/>
      <c r="C4" s="776"/>
      <c r="D4" s="815"/>
      <c r="E4" s="810"/>
      <c r="F4" s="815"/>
      <c r="G4" s="810"/>
      <c r="H4" s="815"/>
      <c r="I4" s="810"/>
      <c r="J4" s="815"/>
      <c r="K4" s="810"/>
      <c r="L4" s="815"/>
      <c r="M4" s="810"/>
      <c r="N4" s="815"/>
      <c r="O4" s="810"/>
      <c r="P4" s="815"/>
      <c r="Q4" s="810"/>
      <c r="R4" s="815"/>
      <c r="S4" s="810"/>
      <c r="T4" s="815"/>
      <c r="U4" s="810"/>
      <c r="V4" s="815"/>
      <c r="W4" s="810"/>
      <c r="X4" s="815"/>
      <c r="Y4" s="810"/>
      <c r="Z4" s="815"/>
      <c r="AA4" s="404">
        <f t="shared" ref="AA4:AA19" si="0">C4+E4+G4+I4+K4+M4+O4+Q4+S4+U4+W4+Y4</f>
        <v>0</v>
      </c>
      <c r="AB4" s="404">
        <f t="shared" ref="AB4:AB19" si="1">D4+F4+H4+J4+L4+N4+P4+R4+T4+V4+X4+Z4</f>
        <v>0</v>
      </c>
      <c r="AC4" s="1504">
        <f t="shared" ref="AC4:AC19" si="2">AA4+AB4</f>
        <v>0</v>
      </c>
      <c r="AD4" s="1505"/>
    </row>
    <row r="5" spans="1:30" ht="24" customHeight="1" thickTop="1" thickBot="1" x14ac:dyDescent="0.3">
      <c r="A5" s="426" t="s">
        <v>283</v>
      </c>
      <c r="B5" s="1538"/>
      <c r="C5" s="780">
        <f>'COMPARAC. REAL-PRESUPUESTO (L)'!E55</f>
        <v>60723.23</v>
      </c>
      <c r="D5" s="780">
        <f>'COMPARAC. REAL-PRESUPUESTO (S)'!E52</f>
        <v>1012.2199999999898</v>
      </c>
      <c r="E5" s="1029">
        <f>'COMPARAC. REAL-PRESUPUESTO (L)'!H55</f>
        <v>5748.0199999999859</v>
      </c>
      <c r="F5" s="1030">
        <f>'COMPARAC. REAL-PRESUPUESTO (S)'!H52</f>
        <v>33626.650000000016</v>
      </c>
      <c r="G5" s="814">
        <f>'COMPARAC. REAL-PRESUPUESTO (L)'!K55</f>
        <v>70268.270000000019</v>
      </c>
      <c r="H5" s="818">
        <f>'COMPARAC. REAL-PRESUPUESTO (S)'!K52</f>
        <v>-19229.38</v>
      </c>
      <c r="I5" s="1029">
        <f>'COMPARAC. REAL-PRESUPUESTO (L)'!N55</f>
        <v>-3593.0200000000086</v>
      </c>
      <c r="J5" s="1030">
        <f>'COMPARAC. REAL-PRESUPUESTO (S)'!N52</f>
        <v>17381.970000000005</v>
      </c>
      <c r="K5" s="1029">
        <f>'COMPARAC. REAL-PRESUPUESTO (L)'!Q55</f>
        <v>37184.769999999968</v>
      </c>
      <c r="L5" s="1030">
        <f>'COMPARAC. REAL-PRESUPUESTO (S)'!Q52</f>
        <v>18306.719999999979</v>
      </c>
      <c r="M5" s="1029">
        <f>'COMPARAC. REAL-PRESUPUESTO (L)'!T55</f>
        <v>92431.730000000025</v>
      </c>
      <c r="N5" s="1030">
        <f>'COMPARAC. REAL-PRESUPUESTO (S)'!T52</f>
        <v>-20863.039999999997</v>
      </c>
      <c r="O5" s="1029">
        <f>'COMPARAC. REAL-PRESUPUESTO (L)'!W55</f>
        <v>53142.069999999992</v>
      </c>
      <c r="P5" s="1030">
        <f>'COMPARAC. REAL-PRESUPUESTO (S)'!W52</f>
        <v>-32759.87</v>
      </c>
      <c r="Q5" s="1029">
        <f>'COMPARAC. REAL-PRESUPUESTO (L)'!Z55</f>
        <v>-20804.529999999995</v>
      </c>
      <c r="R5" s="1030">
        <f>'COMPARAC. REAL-PRESUPUESTO (S)'!Z52</f>
        <v>-13051.13</v>
      </c>
      <c r="S5" s="1029">
        <f>'COMPARAC. REAL-PRESUPUESTO (L)'!AC55</f>
        <v>72494.370000000024</v>
      </c>
      <c r="T5" s="1030">
        <f>'COMPARAC. REAL-PRESUPUESTO (S)'!AC52</f>
        <v>-17430.36</v>
      </c>
      <c r="U5" s="1029">
        <f>'COMPARAC. REAL-PRESUPUESTO (L)'!AF55</f>
        <v>72960.130000000019</v>
      </c>
      <c r="V5" s="1030">
        <f>'COMPARAC. REAL-PRESUPUESTO (S)'!AF52</f>
        <v>-20007.990000000002</v>
      </c>
      <c r="W5" s="1029">
        <f>'COMPARAC. REAL-PRESUPUESTO (L)'!AI55</f>
        <v>798.35000000002947</v>
      </c>
      <c r="X5" s="1030">
        <f>'COMPARAC. REAL-PRESUPUESTO (S)'!AI52</f>
        <v>-13754.3</v>
      </c>
      <c r="Y5" s="1029">
        <f>'COMPARAC. REAL-PRESUPUESTO (L)'!AL55</f>
        <v>12600.690000000015</v>
      </c>
      <c r="Z5" s="1030">
        <f>'COMPARAC. REAL-PRESUPUESTO (S)'!AL52</f>
        <v>45163.090000000004</v>
      </c>
      <c r="AA5" s="404">
        <f t="shared" si="0"/>
        <v>453954.08000000007</v>
      </c>
      <c r="AB5" s="404">
        <f t="shared" si="1"/>
        <v>-21605.420000000006</v>
      </c>
      <c r="AC5" s="1504">
        <f t="shared" si="2"/>
        <v>432348.66000000009</v>
      </c>
      <c r="AD5" s="1505"/>
    </row>
    <row r="6" spans="1:30" ht="24" customHeight="1" thickTop="1" thickBot="1" x14ac:dyDescent="0.3">
      <c r="A6" s="426" t="s">
        <v>284</v>
      </c>
      <c r="B6" s="1539"/>
      <c r="C6" s="777">
        <v>64148.639999999999</v>
      </c>
      <c r="D6" s="803">
        <v>20271.23</v>
      </c>
      <c r="E6" s="810">
        <v>74637.47</v>
      </c>
      <c r="F6" s="815">
        <v>23765.599999999999</v>
      </c>
      <c r="G6" s="810">
        <v>68861.58</v>
      </c>
      <c r="H6" s="815">
        <v>20914.5</v>
      </c>
      <c r="I6" s="810">
        <v>66085.09</v>
      </c>
      <c r="J6" s="815">
        <v>20754.8</v>
      </c>
      <c r="K6" s="810">
        <v>64547.59</v>
      </c>
      <c r="L6" s="815">
        <v>21988.62</v>
      </c>
      <c r="M6" s="810">
        <v>62531.09</v>
      </c>
      <c r="N6" s="815">
        <v>22356.21</v>
      </c>
      <c r="O6" s="810">
        <v>63948.82</v>
      </c>
      <c r="P6" s="815"/>
      <c r="Q6" s="810">
        <v>59654.49</v>
      </c>
      <c r="R6" s="815"/>
      <c r="S6" s="810">
        <v>63875.39</v>
      </c>
      <c r="T6" s="815"/>
      <c r="U6" s="810">
        <v>60314.86</v>
      </c>
      <c r="V6" s="815"/>
      <c r="W6" s="810">
        <v>62043.18</v>
      </c>
      <c r="X6" s="815"/>
      <c r="Y6" s="810">
        <v>65602.17</v>
      </c>
      <c r="Z6" s="815"/>
      <c r="AA6" s="404">
        <f t="shared" si="0"/>
        <v>776250.37000000011</v>
      </c>
      <c r="AB6" s="404">
        <f t="shared" si="1"/>
        <v>130050.95999999999</v>
      </c>
      <c r="AC6" s="1504">
        <f t="shared" si="2"/>
        <v>906301.33000000007</v>
      </c>
      <c r="AD6" s="1505"/>
    </row>
    <row r="7" spans="1:30" ht="24" customHeight="1" thickTop="1" thickBot="1" x14ac:dyDescent="0.3">
      <c r="A7" s="1537" t="s">
        <v>285</v>
      </c>
      <c r="B7" s="426" t="s">
        <v>297</v>
      </c>
      <c r="C7" s="1023">
        <f t="shared" ref="C7:Z7" si="3">C211</f>
        <v>1.5</v>
      </c>
      <c r="D7" s="1024">
        <f t="shared" si="3"/>
        <v>1.5</v>
      </c>
      <c r="E7" s="1025">
        <f t="shared" si="3"/>
        <v>1.5</v>
      </c>
      <c r="F7" s="1024">
        <f t="shared" si="3"/>
        <v>1.5</v>
      </c>
      <c r="G7" s="1025">
        <f t="shared" si="3"/>
        <v>1.5</v>
      </c>
      <c r="H7" s="1024">
        <f t="shared" si="3"/>
        <v>1.5</v>
      </c>
      <c r="I7" s="1025">
        <f t="shared" si="3"/>
        <v>1.5</v>
      </c>
      <c r="J7" s="1024">
        <f t="shared" si="3"/>
        <v>1.5</v>
      </c>
      <c r="K7" s="1025">
        <f t="shared" si="3"/>
        <v>1.5</v>
      </c>
      <c r="L7" s="1024">
        <f t="shared" si="3"/>
        <v>1.5</v>
      </c>
      <c r="M7" s="1025">
        <f t="shared" si="3"/>
        <v>1</v>
      </c>
      <c r="N7" s="1024">
        <f t="shared" si="3"/>
        <v>0</v>
      </c>
      <c r="O7" s="1025">
        <f t="shared" si="3"/>
        <v>1</v>
      </c>
      <c r="P7" s="1024">
        <f t="shared" si="3"/>
        <v>0</v>
      </c>
      <c r="Q7" s="1025">
        <f t="shared" si="3"/>
        <v>1</v>
      </c>
      <c r="R7" s="1024">
        <f t="shared" si="3"/>
        <v>0</v>
      </c>
      <c r="S7" s="1025">
        <f t="shared" si="3"/>
        <v>1</v>
      </c>
      <c r="T7" s="1024">
        <f t="shared" si="3"/>
        <v>0</v>
      </c>
      <c r="U7" s="1025">
        <f t="shared" si="3"/>
        <v>1</v>
      </c>
      <c r="V7" s="1024">
        <f t="shared" si="3"/>
        <v>0</v>
      </c>
      <c r="W7" s="1025">
        <f t="shared" si="3"/>
        <v>1</v>
      </c>
      <c r="X7" s="1024">
        <f t="shared" si="3"/>
        <v>0</v>
      </c>
      <c r="Y7" s="1025">
        <f t="shared" si="3"/>
        <v>1</v>
      </c>
      <c r="Z7" s="1024">
        <f t="shared" si="3"/>
        <v>0</v>
      </c>
      <c r="AA7" s="944">
        <f t="shared" si="0"/>
        <v>14.5</v>
      </c>
      <c r="AB7" s="404">
        <f t="shared" si="1"/>
        <v>7.5</v>
      </c>
      <c r="AC7" s="1504">
        <f t="shared" si="2"/>
        <v>22</v>
      </c>
      <c r="AD7" s="1505"/>
    </row>
    <row r="8" spans="1:30" ht="24" customHeight="1" thickTop="1" thickBot="1" x14ac:dyDescent="0.3">
      <c r="A8" s="1539"/>
      <c r="B8" s="426" t="s">
        <v>298</v>
      </c>
      <c r="C8" s="784">
        <f t="shared" ref="C8:Z8" si="4">C212</f>
        <v>1.5</v>
      </c>
      <c r="D8" s="825">
        <f t="shared" si="4"/>
        <v>1.5</v>
      </c>
      <c r="E8" s="796">
        <f t="shared" si="4"/>
        <v>1.5</v>
      </c>
      <c r="F8" s="825">
        <f t="shared" si="4"/>
        <v>1.5</v>
      </c>
      <c r="G8" s="796">
        <f t="shared" si="4"/>
        <v>1.5</v>
      </c>
      <c r="H8" s="825">
        <f t="shared" si="4"/>
        <v>1.5</v>
      </c>
      <c r="I8" s="796">
        <f t="shared" si="4"/>
        <v>1.5</v>
      </c>
      <c r="J8" s="825">
        <f t="shared" si="4"/>
        <v>1.5</v>
      </c>
      <c r="K8" s="796">
        <f t="shared" si="4"/>
        <v>1.5</v>
      </c>
      <c r="L8" s="825">
        <f t="shared" si="4"/>
        <v>1.5</v>
      </c>
      <c r="M8" s="796">
        <f t="shared" si="4"/>
        <v>1</v>
      </c>
      <c r="N8" s="825">
        <f t="shared" si="4"/>
        <v>0</v>
      </c>
      <c r="O8" s="796">
        <f t="shared" si="4"/>
        <v>1</v>
      </c>
      <c r="P8" s="825">
        <f t="shared" si="4"/>
        <v>0</v>
      </c>
      <c r="Q8" s="796">
        <f t="shared" si="4"/>
        <v>1</v>
      </c>
      <c r="R8" s="825">
        <f t="shared" si="4"/>
        <v>0</v>
      </c>
      <c r="S8" s="796">
        <f t="shared" si="4"/>
        <v>0.875</v>
      </c>
      <c r="T8" s="825">
        <f t="shared" si="4"/>
        <v>0</v>
      </c>
      <c r="U8" s="796">
        <f t="shared" si="4"/>
        <v>1</v>
      </c>
      <c r="V8" s="825">
        <f t="shared" si="4"/>
        <v>0</v>
      </c>
      <c r="W8" s="796">
        <f t="shared" si="4"/>
        <v>1</v>
      </c>
      <c r="X8" s="825">
        <f t="shared" si="4"/>
        <v>0</v>
      </c>
      <c r="Y8" s="796">
        <f t="shared" si="4"/>
        <v>1</v>
      </c>
      <c r="Z8" s="825">
        <f t="shared" si="4"/>
        <v>0</v>
      </c>
      <c r="AA8" s="948">
        <f t="shared" si="0"/>
        <v>14.375</v>
      </c>
      <c r="AB8" s="404">
        <f t="shared" si="1"/>
        <v>7.5</v>
      </c>
      <c r="AC8" s="1504">
        <f t="shared" si="2"/>
        <v>21.875</v>
      </c>
      <c r="AD8" s="1505"/>
    </row>
    <row r="9" spans="1:30" ht="24" customHeight="1" thickTop="1" thickBot="1" x14ac:dyDescent="0.3">
      <c r="A9" s="1537" t="s">
        <v>398</v>
      </c>
      <c r="B9" s="426" t="s">
        <v>399</v>
      </c>
      <c r="C9" s="778">
        <v>0</v>
      </c>
      <c r="D9" s="778">
        <v>0</v>
      </c>
      <c r="E9" s="812">
        <v>1</v>
      </c>
      <c r="F9" s="816">
        <v>1</v>
      </c>
      <c r="G9" s="812">
        <v>1</v>
      </c>
      <c r="H9" s="816">
        <v>1</v>
      </c>
      <c r="I9" s="812">
        <v>0</v>
      </c>
      <c r="J9" s="816">
        <v>0</v>
      </c>
      <c r="K9" s="812">
        <v>1</v>
      </c>
      <c r="L9" s="816">
        <v>1</v>
      </c>
      <c r="M9" s="812">
        <v>0</v>
      </c>
      <c r="N9" s="816">
        <v>0</v>
      </c>
      <c r="O9" s="812">
        <v>1</v>
      </c>
      <c r="P9" s="816">
        <v>1</v>
      </c>
      <c r="Q9" s="812">
        <v>1</v>
      </c>
      <c r="R9" s="816">
        <v>1</v>
      </c>
      <c r="S9" s="812">
        <v>1</v>
      </c>
      <c r="T9" s="816">
        <v>1</v>
      </c>
      <c r="U9" s="812">
        <v>1</v>
      </c>
      <c r="V9" s="816">
        <v>1</v>
      </c>
      <c r="W9" s="812">
        <v>1</v>
      </c>
      <c r="X9" s="816">
        <v>1</v>
      </c>
      <c r="Y9" s="812"/>
      <c r="Z9" s="816"/>
      <c r="AA9" s="404">
        <f>AVERAGE(C9,E9,G9,I9,K9,M9,O9,Q9,S9,U9,W9,Y9)</f>
        <v>0.72727272727272729</v>
      </c>
      <c r="AB9" s="404">
        <f>AVERAGE(D9,F9,H9,J9,L9,N9,P9,R9,T9,V9,X9,Z9)</f>
        <v>0.72727272727272729</v>
      </c>
      <c r="AC9" s="1504">
        <f>AVERAGE(AA9:AB9)</f>
        <v>0.72727272727272729</v>
      </c>
      <c r="AD9" s="1505"/>
    </row>
    <row r="10" spans="1:30" ht="24" customHeight="1" thickTop="1" thickBot="1" x14ac:dyDescent="0.3">
      <c r="A10" s="1539"/>
      <c r="B10" s="426" t="s">
        <v>400</v>
      </c>
      <c r="C10" s="779">
        <v>1</v>
      </c>
      <c r="D10" s="779">
        <v>1</v>
      </c>
      <c r="E10" s="813">
        <v>1</v>
      </c>
      <c r="F10" s="817">
        <v>1</v>
      </c>
      <c r="G10" s="813">
        <v>1</v>
      </c>
      <c r="H10" s="817">
        <v>1</v>
      </c>
      <c r="I10" s="813">
        <v>2</v>
      </c>
      <c r="J10" s="817">
        <v>2</v>
      </c>
      <c r="K10" s="813">
        <v>1</v>
      </c>
      <c r="L10" s="817">
        <v>1</v>
      </c>
      <c r="M10" s="813">
        <v>1</v>
      </c>
      <c r="N10" s="817">
        <v>1</v>
      </c>
      <c r="O10" s="813">
        <v>1</v>
      </c>
      <c r="P10" s="817">
        <v>1</v>
      </c>
      <c r="Q10" s="813">
        <v>2</v>
      </c>
      <c r="R10" s="817">
        <v>2</v>
      </c>
      <c r="S10" s="813">
        <v>1</v>
      </c>
      <c r="T10" s="817">
        <v>1</v>
      </c>
      <c r="U10" s="813">
        <v>1</v>
      </c>
      <c r="V10" s="817">
        <v>1</v>
      </c>
      <c r="W10" s="813">
        <v>1</v>
      </c>
      <c r="X10" s="817">
        <v>1</v>
      </c>
      <c r="Y10" s="813"/>
      <c r="Z10" s="817"/>
      <c r="AA10" s="404">
        <f>AVERAGE(C10,E10,G10,I10,K10,M10,O10,Q10,S10,U10,W10,Y10)</f>
        <v>1.1818181818181819</v>
      </c>
      <c r="AB10" s="404">
        <f>AVERAGE(D10,F10,H10,J10,L10,N10,P10,R10,T10,V10,X10,Z10)</f>
        <v>1.1818181818181819</v>
      </c>
      <c r="AC10" s="1504">
        <f>AVERAGE(AA10:AB10)</f>
        <v>1.1818181818181819</v>
      </c>
      <c r="AD10" s="1505"/>
    </row>
    <row r="11" spans="1:30" ht="24" customHeight="1" thickTop="1" thickBot="1" x14ac:dyDescent="0.3">
      <c r="A11" s="426" t="s">
        <v>36</v>
      </c>
      <c r="B11" s="1618"/>
      <c r="C11" s="780">
        <v>20143.64</v>
      </c>
      <c r="D11" s="780">
        <v>294.39</v>
      </c>
      <c r="E11" s="814">
        <v>28975.08</v>
      </c>
      <c r="F11" s="818">
        <v>382.36</v>
      </c>
      <c r="G11" s="814">
        <v>24627.77</v>
      </c>
      <c r="H11" s="818">
        <v>460.22</v>
      </c>
      <c r="I11" s="814">
        <v>25770.49</v>
      </c>
      <c r="J11" s="818">
        <v>310.66000000000003</v>
      </c>
      <c r="K11" s="814">
        <v>23043.08</v>
      </c>
      <c r="L11" s="818">
        <v>9778.06</v>
      </c>
      <c r="M11" s="814">
        <v>25921.26</v>
      </c>
      <c r="N11" s="818">
        <v>516.20000000000005</v>
      </c>
      <c r="O11" s="814">
        <v>32047.66</v>
      </c>
      <c r="P11" s="818">
        <v>498.43</v>
      </c>
      <c r="Q11" s="814">
        <v>18418.330000000002</v>
      </c>
      <c r="R11" s="818">
        <v>331.79</v>
      </c>
      <c r="S11" s="814">
        <v>24330.93</v>
      </c>
      <c r="T11" s="818">
        <v>551.35</v>
      </c>
      <c r="U11" s="814">
        <v>27341.46</v>
      </c>
      <c r="V11" s="818">
        <v>387.25</v>
      </c>
      <c r="W11" s="814">
        <v>23810.58</v>
      </c>
      <c r="X11" s="818">
        <v>441.25</v>
      </c>
      <c r="Y11" s="814">
        <v>24780.97</v>
      </c>
      <c r="Z11" s="818">
        <v>359.38</v>
      </c>
      <c r="AA11" s="404">
        <f t="shared" si="0"/>
        <v>299211.25</v>
      </c>
      <c r="AB11" s="404">
        <f t="shared" si="1"/>
        <v>14311.34</v>
      </c>
      <c r="AC11" s="1504">
        <f t="shared" si="2"/>
        <v>313522.59000000003</v>
      </c>
      <c r="AD11" s="1505"/>
    </row>
    <row r="12" spans="1:30" ht="24" customHeight="1" thickTop="1" thickBot="1" x14ac:dyDescent="0.3">
      <c r="A12" s="426" t="s">
        <v>286</v>
      </c>
      <c r="B12" s="1619"/>
      <c r="C12" s="777">
        <v>50315.11</v>
      </c>
      <c r="D12" s="777">
        <v>13566.29</v>
      </c>
      <c r="E12" s="811">
        <v>45400.91</v>
      </c>
      <c r="F12" s="803">
        <v>19011.97</v>
      </c>
      <c r="G12" s="811">
        <v>46699.73</v>
      </c>
      <c r="H12" s="803">
        <v>14443.8</v>
      </c>
      <c r="I12" s="811">
        <v>45909.24</v>
      </c>
      <c r="J12" s="803">
        <v>15548.9</v>
      </c>
      <c r="K12" s="811">
        <v>53397.91</v>
      </c>
      <c r="L12" s="803">
        <v>17763.099999999999</v>
      </c>
      <c r="M12" s="811">
        <v>59690.32</v>
      </c>
      <c r="N12" s="803">
        <v>17763.099999999999</v>
      </c>
      <c r="O12" s="811">
        <v>81644.399999999994</v>
      </c>
      <c r="P12" s="803">
        <v>27726.47</v>
      </c>
      <c r="Q12" s="811">
        <v>26198.1</v>
      </c>
      <c r="R12" s="803">
        <v>11631.99</v>
      </c>
      <c r="S12" s="811">
        <v>55140.66</v>
      </c>
      <c r="T12" s="803">
        <v>13494.81</v>
      </c>
      <c r="U12" s="811">
        <v>50351.5</v>
      </c>
      <c r="V12" s="803">
        <v>15780.37</v>
      </c>
      <c r="W12" s="811">
        <v>46507.53</v>
      </c>
      <c r="X12" s="803">
        <v>12003.59</v>
      </c>
      <c r="Y12" s="811">
        <v>69678</v>
      </c>
      <c r="Z12" s="803">
        <v>-49007.18</v>
      </c>
      <c r="AA12" s="404">
        <f t="shared" si="0"/>
        <v>630933.41</v>
      </c>
      <c r="AB12" s="404">
        <f>D12+F12+H12+J12+L12+N12+P12+R12+T12+V12+X12+Z12</f>
        <v>129727.20999999999</v>
      </c>
      <c r="AC12" s="1504">
        <f t="shared" si="2"/>
        <v>760660.62</v>
      </c>
      <c r="AD12" s="1505"/>
    </row>
    <row r="13" spans="1:30" ht="24" customHeight="1" thickTop="1" thickBot="1" x14ac:dyDescent="0.3">
      <c r="A13" s="426" t="s">
        <v>287</v>
      </c>
      <c r="B13" s="1619"/>
      <c r="C13" s="780">
        <v>13306.72</v>
      </c>
      <c r="D13" s="780">
        <v>34711.370000000003</v>
      </c>
      <c r="E13" s="814">
        <v>13485.12</v>
      </c>
      <c r="F13" s="818">
        <v>34771.870000000003</v>
      </c>
      <c r="G13" s="814">
        <v>13485.12</v>
      </c>
      <c r="H13" s="818">
        <v>34771.870000000003</v>
      </c>
      <c r="I13" s="814">
        <v>13527.12</v>
      </c>
      <c r="J13" s="818">
        <v>34806.870000000003</v>
      </c>
      <c r="K13" s="814">
        <v>13527.12</v>
      </c>
      <c r="L13" s="818">
        <v>34806.870000000003</v>
      </c>
      <c r="M13" s="814">
        <v>13637.12</v>
      </c>
      <c r="N13" s="818">
        <v>34806.870000000003</v>
      </c>
      <c r="O13" s="814">
        <v>13637.12</v>
      </c>
      <c r="P13" s="818">
        <v>34806.870000000003</v>
      </c>
      <c r="Q13" s="814">
        <v>6818.68</v>
      </c>
      <c r="R13" s="818">
        <v>17403.53</v>
      </c>
      <c r="S13" s="814">
        <v>13637.12</v>
      </c>
      <c r="T13" s="818">
        <v>34806.870000000003</v>
      </c>
      <c r="U13" s="814">
        <v>13637.12</v>
      </c>
      <c r="V13" s="818">
        <v>34806.870000000003</v>
      </c>
      <c r="W13" s="814">
        <v>13637.12</v>
      </c>
      <c r="X13" s="818">
        <v>34806.870000000003</v>
      </c>
      <c r="Y13" s="814">
        <v>6818.56</v>
      </c>
      <c r="Z13" s="818">
        <v>17403.38</v>
      </c>
      <c r="AA13" s="404">
        <f t="shared" si="0"/>
        <v>149154.03999999998</v>
      </c>
      <c r="AB13" s="404">
        <f t="shared" si="1"/>
        <v>382710.11</v>
      </c>
      <c r="AC13" s="1504">
        <f t="shared" si="2"/>
        <v>531864.14999999991</v>
      </c>
      <c r="AD13" s="1505"/>
    </row>
    <row r="14" spans="1:30" ht="24" customHeight="1" thickTop="1" thickBot="1" x14ac:dyDescent="0.3">
      <c r="A14" s="426" t="s">
        <v>329</v>
      </c>
      <c r="B14" s="1619"/>
      <c r="C14" s="777">
        <v>4199</v>
      </c>
      <c r="D14" s="777">
        <v>0</v>
      </c>
      <c r="E14" s="811">
        <v>4199</v>
      </c>
      <c r="F14" s="803">
        <v>0</v>
      </c>
      <c r="G14" s="811">
        <v>4199</v>
      </c>
      <c r="H14" s="803">
        <v>0</v>
      </c>
      <c r="I14" s="811">
        <v>4199</v>
      </c>
      <c r="J14" s="803">
        <v>0</v>
      </c>
      <c r="K14" s="811">
        <v>4199</v>
      </c>
      <c r="L14" s="803">
        <v>0</v>
      </c>
      <c r="M14" s="811">
        <v>4199</v>
      </c>
      <c r="N14" s="803">
        <v>0</v>
      </c>
      <c r="O14" s="811">
        <v>4199</v>
      </c>
      <c r="P14" s="803">
        <v>0</v>
      </c>
      <c r="Q14" s="811">
        <v>2099.5</v>
      </c>
      <c r="R14" s="803">
        <v>0</v>
      </c>
      <c r="S14" s="811">
        <v>4199</v>
      </c>
      <c r="T14" s="803">
        <v>0</v>
      </c>
      <c r="U14" s="811">
        <v>4199</v>
      </c>
      <c r="V14" s="803">
        <v>0</v>
      </c>
      <c r="W14" s="811">
        <v>4199</v>
      </c>
      <c r="X14" s="803">
        <v>0</v>
      </c>
      <c r="Y14" s="811">
        <v>2099.5</v>
      </c>
      <c r="Z14" s="803">
        <v>0</v>
      </c>
      <c r="AA14" s="404">
        <f t="shared" si="0"/>
        <v>46189</v>
      </c>
      <c r="AB14" s="404">
        <f t="shared" si="1"/>
        <v>0</v>
      </c>
      <c r="AC14" s="1504">
        <f t="shared" si="2"/>
        <v>46189</v>
      </c>
      <c r="AD14" s="1505"/>
    </row>
    <row r="15" spans="1:30" ht="24" customHeight="1" thickTop="1" thickBot="1" x14ac:dyDescent="0.3">
      <c r="A15" s="426" t="s">
        <v>288</v>
      </c>
      <c r="B15" s="1619"/>
      <c r="C15" s="780">
        <v>8188.6</v>
      </c>
      <c r="D15" s="780">
        <v>2871.67</v>
      </c>
      <c r="E15" s="814">
        <v>9151.7900000000009</v>
      </c>
      <c r="F15" s="818">
        <v>1940.08</v>
      </c>
      <c r="G15" s="814">
        <v>4895.9799999999996</v>
      </c>
      <c r="H15" s="818">
        <v>1297.77</v>
      </c>
      <c r="I15" s="814">
        <v>28442.17</v>
      </c>
      <c r="J15" s="818">
        <v>1666.2</v>
      </c>
      <c r="K15" s="814">
        <v>8505.02</v>
      </c>
      <c r="L15" s="818">
        <v>1960.08</v>
      </c>
      <c r="M15" s="814">
        <v>6720.64</v>
      </c>
      <c r="N15" s="818">
        <v>432.41</v>
      </c>
      <c r="O15" s="814">
        <v>9377.39</v>
      </c>
      <c r="P15" s="818">
        <v>792.13</v>
      </c>
      <c r="Q15" s="814">
        <v>15260.86</v>
      </c>
      <c r="R15" s="818">
        <v>387.73</v>
      </c>
      <c r="S15" s="814">
        <v>6351.24</v>
      </c>
      <c r="T15" s="818">
        <v>992.82</v>
      </c>
      <c r="U15" s="814">
        <v>2839.7</v>
      </c>
      <c r="V15" s="818">
        <v>2760.32</v>
      </c>
      <c r="W15" s="814">
        <v>22700.04</v>
      </c>
      <c r="X15" s="818">
        <v>299.92</v>
      </c>
      <c r="Y15" s="814">
        <v>7928.85</v>
      </c>
      <c r="Z15" s="818">
        <v>3022.18</v>
      </c>
      <c r="AA15" s="404">
        <f t="shared" si="0"/>
        <v>130362.28</v>
      </c>
      <c r="AB15" s="404">
        <f t="shared" si="1"/>
        <v>18423.309999999998</v>
      </c>
      <c r="AC15" s="1504">
        <f t="shared" si="2"/>
        <v>148785.59</v>
      </c>
      <c r="AD15" s="1505"/>
    </row>
    <row r="16" spans="1:30" ht="24" customHeight="1" thickTop="1" thickBot="1" x14ac:dyDescent="0.3">
      <c r="A16" s="426" t="s">
        <v>289</v>
      </c>
      <c r="B16" s="1619"/>
      <c r="C16" s="777">
        <v>8281.24</v>
      </c>
      <c r="D16" s="777">
        <v>1047.0899999999999</v>
      </c>
      <c r="E16" s="811">
        <v>22217.47</v>
      </c>
      <c r="F16" s="803">
        <v>251.98</v>
      </c>
      <c r="G16" s="811">
        <v>3278.62</v>
      </c>
      <c r="H16" s="803">
        <v>472.46</v>
      </c>
      <c r="I16" s="811">
        <v>21275.08</v>
      </c>
      <c r="J16" s="803">
        <v>6401.57</v>
      </c>
      <c r="K16" s="811">
        <v>20017.75</v>
      </c>
      <c r="L16" s="803">
        <v>581.09</v>
      </c>
      <c r="M16" s="811">
        <v>13641.32</v>
      </c>
      <c r="N16" s="803">
        <v>1980.03</v>
      </c>
      <c r="O16" s="811">
        <v>20091.28</v>
      </c>
      <c r="P16" s="803">
        <v>2232.96</v>
      </c>
      <c r="Q16" s="811">
        <v>5012.5600000000004</v>
      </c>
      <c r="R16" s="803">
        <v>541.41999999999996</v>
      </c>
      <c r="S16" s="811">
        <v>12499.02</v>
      </c>
      <c r="T16" s="803">
        <v>1602.99</v>
      </c>
      <c r="U16" s="811">
        <v>6053.65</v>
      </c>
      <c r="V16" s="803">
        <v>601.98</v>
      </c>
      <c r="W16" s="811">
        <v>10161.459999999999</v>
      </c>
      <c r="X16" s="803">
        <v>120.15</v>
      </c>
      <c r="Y16" s="811">
        <v>5364.2</v>
      </c>
      <c r="Z16" s="803">
        <v>47.99</v>
      </c>
      <c r="AA16" s="404">
        <f t="shared" si="0"/>
        <v>147893.65000000002</v>
      </c>
      <c r="AB16" s="404">
        <f t="shared" si="1"/>
        <v>15881.71</v>
      </c>
      <c r="AC16" s="1504">
        <f t="shared" si="2"/>
        <v>163775.36000000002</v>
      </c>
      <c r="AD16" s="1505"/>
    </row>
    <row r="17" spans="1:31" ht="24" customHeight="1" thickTop="1" thickBot="1" x14ac:dyDescent="0.3">
      <c r="A17" s="426" t="s">
        <v>332</v>
      </c>
      <c r="B17" s="1619"/>
      <c r="C17" s="780">
        <v>466.87</v>
      </c>
      <c r="D17" s="780">
        <v>0</v>
      </c>
      <c r="E17" s="814">
        <v>10.32</v>
      </c>
      <c r="F17" s="818">
        <v>10.31</v>
      </c>
      <c r="G17" s="814">
        <v>64.63</v>
      </c>
      <c r="H17" s="818">
        <v>0</v>
      </c>
      <c r="I17" s="814">
        <v>123.65</v>
      </c>
      <c r="J17" s="818">
        <v>0</v>
      </c>
      <c r="K17" s="814">
        <v>28.27</v>
      </c>
      <c r="L17" s="818">
        <v>0</v>
      </c>
      <c r="M17" s="814">
        <v>240.69</v>
      </c>
      <c r="N17" s="818">
        <v>0</v>
      </c>
      <c r="O17" s="814">
        <v>49.13</v>
      </c>
      <c r="P17" s="818">
        <v>0</v>
      </c>
      <c r="Q17" s="814">
        <v>63.81</v>
      </c>
      <c r="R17" s="818">
        <v>0</v>
      </c>
      <c r="S17" s="814">
        <v>51.36</v>
      </c>
      <c r="T17" s="818">
        <v>0</v>
      </c>
      <c r="U17" s="814">
        <v>70.48</v>
      </c>
      <c r="V17" s="818">
        <v>0</v>
      </c>
      <c r="W17" s="814">
        <v>34.54</v>
      </c>
      <c r="X17" s="818">
        <v>0</v>
      </c>
      <c r="Y17" s="814">
        <v>67</v>
      </c>
      <c r="Z17" s="818">
        <v>0</v>
      </c>
      <c r="AA17" s="404">
        <f t="shared" si="0"/>
        <v>1270.7499999999998</v>
      </c>
      <c r="AB17" s="404">
        <f t="shared" si="1"/>
        <v>10.31</v>
      </c>
      <c r="AC17" s="1504">
        <f t="shared" si="2"/>
        <v>1281.0599999999997</v>
      </c>
      <c r="AD17" s="1505"/>
    </row>
    <row r="18" spans="1:31" ht="24" customHeight="1" thickTop="1" thickBot="1" x14ac:dyDescent="0.3">
      <c r="A18" s="426" t="s">
        <v>330</v>
      </c>
      <c r="B18" s="1619"/>
      <c r="C18" s="777">
        <v>115.83</v>
      </c>
      <c r="D18" s="777">
        <v>824.18</v>
      </c>
      <c r="E18" s="811">
        <v>88.29</v>
      </c>
      <c r="F18" s="803">
        <v>603.70000000000005</v>
      </c>
      <c r="G18" s="811">
        <v>119.85</v>
      </c>
      <c r="H18" s="803">
        <v>392.33</v>
      </c>
      <c r="I18" s="811">
        <v>232.9</v>
      </c>
      <c r="J18" s="803">
        <v>559.36</v>
      </c>
      <c r="K18" s="811">
        <v>193.25</v>
      </c>
      <c r="L18" s="803">
        <v>1033.1300000000001</v>
      </c>
      <c r="M18" s="811">
        <v>54.25</v>
      </c>
      <c r="N18" s="803">
        <v>171.3</v>
      </c>
      <c r="O18" s="811">
        <v>1183.78</v>
      </c>
      <c r="P18" s="803">
        <v>1509.88</v>
      </c>
      <c r="Q18" s="811">
        <v>395.79</v>
      </c>
      <c r="R18" s="803">
        <v>158.19999999999999</v>
      </c>
      <c r="S18" s="811">
        <v>35.700000000000003</v>
      </c>
      <c r="T18" s="803">
        <v>788.39</v>
      </c>
      <c r="U18" s="811">
        <v>385.79</v>
      </c>
      <c r="V18" s="803">
        <v>478.07</v>
      </c>
      <c r="W18" s="811">
        <v>78.98</v>
      </c>
      <c r="X18" s="803">
        <v>889.39</v>
      </c>
      <c r="Y18" s="811">
        <v>1007.22</v>
      </c>
      <c r="Z18" s="803">
        <v>414.54</v>
      </c>
      <c r="AA18" s="404">
        <f t="shared" si="0"/>
        <v>3891.63</v>
      </c>
      <c r="AB18" s="404">
        <f t="shared" si="1"/>
        <v>7822.4700000000012</v>
      </c>
      <c r="AC18" s="1504">
        <f t="shared" si="2"/>
        <v>11714.100000000002</v>
      </c>
      <c r="AD18" s="1505"/>
    </row>
    <row r="19" spans="1:31" ht="24" customHeight="1" thickTop="1" thickBot="1" x14ac:dyDescent="0.3">
      <c r="A19" s="426" t="s">
        <v>331</v>
      </c>
      <c r="B19" s="1619"/>
      <c r="C19" s="780">
        <f>'COMPARAC. REAL-PRESUPUESTO (L)'!E35</f>
        <v>14683.96</v>
      </c>
      <c r="D19" s="780">
        <f>'COMPARAC. REAL-PRESUPUESTO (S)'!E32</f>
        <v>16776.739999999998</v>
      </c>
      <c r="E19" s="890">
        <f>'COMPARAC. REAL-PRESUPUESTO (L)'!H35</f>
        <v>17046.13</v>
      </c>
      <c r="F19" s="889">
        <f>'COMPARAC. REAL-PRESUPUESTO (S)'!H32</f>
        <v>16940.810000000001</v>
      </c>
      <c r="G19" s="890">
        <f>'COMPARAC. REAL-PRESUPUESTO (L)'!K35</f>
        <v>17335.91</v>
      </c>
      <c r="H19" s="889">
        <f>'COMPARAC. REAL-PRESUPUESTO (S)'!K32</f>
        <v>16703.89</v>
      </c>
      <c r="I19" s="890">
        <f>'COMPARAC. REAL-PRESUPUESTO (L)'!N35</f>
        <v>15975.509999999998</v>
      </c>
      <c r="J19" s="889">
        <f>'COMPARAC. REAL-PRESUPUESTO (S)'!N32</f>
        <v>9309.0399999999991</v>
      </c>
      <c r="K19" s="890">
        <f>'COMPARAC. REAL-PRESUPUESTO (L)'!Q35</f>
        <v>25363.79</v>
      </c>
      <c r="L19" s="889">
        <f>'COMPARAC. REAL-PRESUPUESTO (S)'!Q32</f>
        <v>25088.35</v>
      </c>
      <c r="M19" s="890">
        <f>'COMPARAC. REAL-PRESUPUESTO (L)'!T35</f>
        <v>15367.99</v>
      </c>
      <c r="N19" s="889">
        <f>'COMPARAC. REAL-PRESUPUESTO (S)'!T32</f>
        <v>0</v>
      </c>
      <c r="O19" s="890">
        <f>'COMPARAC. REAL-PRESUPUESTO (L)'!W35</f>
        <v>34811.449999999997</v>
      </c>
      <c r="P19" s="889">
        <f>'COMPARAC. REAL-PRESUPUESTO (S)'!W32</f>
        <v>0</v>
      </c>
      <c r="Q19" s="890">
        <f>'COMPARAC. REAL-PRESUPUESTO (L)'!Z35</f>
        <v>-54872.310000000005</v>
      </c>
      <c r="R19" s="889">
        <f>'COMPARAC. REAL-PRESUPUESTO (S)'!Z32</f>
        <v>0</v>
      </c>
      <c r="S19" s="890">
        <f>'COMPARAC. REAL-PRESUPUESTO (L)'!AC35</f>
        <v>19574.11</v>
      </c>
      <c r="T19" s="889">
        <f>'COMPARAC. REAL-PRESUPUESTO (S)'!AC32</f>
        <v>0</v>
      </c>
      <c r="U19" s="890">
        <f>'COMPARAC. REAL-PRESUPUESTO (L)'!AF35</f>
        <v>23163.280000000002</v>
      </c>
      <c r="V19" s="889">
        <f>'COMPARAC. REAL-PRESUPUESTO (S)'!AF32</f>
        <v>0</v>
      </c>
      <c r="W19" s="890">
        <f>'COMPARAC. REAL-PRESUPUESTO (L)'!AI35</f>
        <v>56676.259999999995</v>
      </c>
      <c r="X19" s="889">
        <f>'COMPARAC. REAL-PRESUPUESTO (S)'!AI32</f>
        <v>0</v>
      </c>
      <c r="Y19" s="890">
        <f>'COMPARAC. REAL-PRESUPUESTO (L)'!AL35</f>
        <v>-25300.37</v>
      </c>
      <c r="Z19" s="889">
        <f>'COMPARAC. REAL-PRESUPUESTO (S)'!AL32</f>
        <v>0</v>
      </c>
      <c r="AA19" s="404">
        <f t="shared" si="0"/>
        <v>159825.71</v>
      </c>
      <c r="AB19" s="404">
        <f t="shared" si="1"/>
        <v>84818.83</v>
      </c>
      <c r="AC19" s="1504">
        <f t="shared" si="2"/>
        <v>244644.53999999998</v>
      </c>
      <c r="AD19" s="1505"/>
    </row>
    <row r="20" spans="1:31" ht="21.95" customHeight="1" thickTop="1" thickBot="1" x14ac:dyDescent="0.3">
      <c r="A20" s="1534" t="s">
        <v>141</v>
      </c>
      <c r="B20" s="1619"/>
      <c r="C20" s="1536" t="s">
        <v>128</v>
      </c>
      <c r="D20" s="1529"/>
      <c r="E20" s="1528" t="s">
        <v>129</v>
      </c>
      <c r="F20" s="1532"/>
      <c r="G20" s="1528" t="s">
        <v>130</v>
      </c>
      <c r="H20" s="1532"/>
      <c r="I20" s="1528" t="s">
        <v>131</v>
      </c>
      <c r="J20" s="1532"/>
      <c r="K20" s="1528" t="s">
        <v>132</v>
      </c>
      <c r="L20" s="1532"/>
      <c r="M20" s="1528" t="s">
        <v>133</v>
      </c>
      <c r="N20" s="1532"/>
      <c r="O20" s="1528" t="s">
        <v>134</v>
      </c>
      <c r="P20" s="1532"/>
      <c r="Q20" s="1528" t="s">
        <v>135</v>
      </c>
      <c r="R20" s="1532"/>
      <c r="S20" s="1528" t="s">
        <v>136</v>
      </c>
      <c r="T20" s="1532"/>
      <c r="U20" s="1528" t="s">
        <v>137</v>
      </c>
      <c r="V20" s="1532"/>
      <c r="W20" s="1528" t="s">
        <v>138</v>
      </c>
      <c r="X20" s="1532"/>
      <c r="Y20" s="1528" t="s">
        <v>139</v>
      </c>
      <c r="Z20" s="1529"/>
      <c r="AA20" s="1532" t="s">
        <v>140</v>
      </c>
      <c r="AB20" s="1533"/>
      <c r="AC20" s="958"/>
    </row>
    <row r="21" spans="1:31" ht="21.95" customHeight="1" thickTop="1" thickBot="1" x14ac:dyDescent="0.35">
      <c r="A21" s="1535"/>
      <c r="B21" s="1619"/>
      <c r="C21" s="773" t="s">
        <v>682</v>
      </c>
      <c r="D21" s="785" t="s">
        <v>683</v>
      </c>
      <c r="E21" s="798" t="s">
        <v>682</v>
      </c>
      <c r="F21" s="785" t="s">
        <v>683</v>
      </c>
      <c r="G21" s="798" t="s">
        <v>682</v>
      </c>
      <c r="H21" s="785" t="s">
        <v>683</v>
      </c>
      <c r="I21" s="798" t="s">
        <v>682</v>
      </c>
      <c r="J21" s="785" t="s">
        <v>683</v>
      </c>
      <c r="K21" s="798" t="s">
        <v>682</v>
      </c>
      <c r="L21" s="785" t="s">
        <v>683</v>
      </c>
      <c r="M21" s="798" t="s">
        <v>682</v>
      </c>
      <c r="N21" s="785" t="s">
        <v>683</v>
      </c>
      <c r="O21" s="798" t="s">
        <v>682</v>
      </c>
      <c r="P21" s="785" t="s">
        <v>683</v>
      </c>
      <c r="Q21" s="798" t="s">
        <v>682</v>
      </c>
      <c r="R21" s="785" t="s">
        <v>683</v>
      </c>
      <c r="S21" s="798" t="s">
        <v>682</v>
      </c>
      <c r="T21" s="785" t="s">
        <v>683</v>
      </c>
      <c r="U21" s="798" t="s">
        <v>682</v>
      </c>
      <c r="V21" s="785" t="s">
        <v>683</v>
      </c>
      <c r="W21" s="798" t="s">
        <v>682</v>
      </c>
      <c r="X21" s="785" t="s">
        <v>683</v>
      </c>
      <c r="Y21" s="798" t="s">
        <v>682</v>
      </c>
      <c r="Z21" s="936" t="s">
        <v>683</v>
      </c>
      <c r="AA21" s="798" t="s">
        <v>682</v>
      </c>
      <c r="AB21" s="774" t="s">
        <v>683</v>
      </c>
      <c r="AC21" s="958"/>
    </row>
    <row r="22" spans="1:31" ht="24" customHeight="1" thickTop="1" thickBot="1" x14ac:dyDescent="0.3">
      <c r="A22" s="426" t="s">
        <v>290</v>
      </c>
      <c r="B22" s="1619"/>
      <c r="C22" s="781">
        <v>20</v>
      </c>
      <c r="D22" s="781">
        <v>18</v>
      </c>
      <c r="E22" s="820">
        <v>20</v>
      </c>
      <c r="F22" s="822">
        <v>20</v>
      </c>
      <c r="G22" s="820">
        <v>22</v>
      </c>
      <c r="H22" s="822">
        <v>22</v>
      </c>
      <c r="I22" s="820">
        <v>20</v>
      </c>
      <c r="J22" s="822">
        <v>20</v>
      </c>
      <c r="K22" s="820">
        <v>20</v>
      </c>
      <c r="L22" s="822">
        <v>20</v>
      </c>
      <c r="M22" s="820">
        <v>22</v>
      </c>
      <c r="N22" s="822">
        <v>22</v>
      </c>
      <c r="O22" s="820">
        <v>23</v>
      </c>
      <c r="P22" s="822">
        <v>23</v>
      </c>
      <c r="Q22" s="820">
        <v>19</v>
      </c>
      <c r="R22" s="822">
        <v>21</v>
      </c>
      <c r="S22" s="820">
        <v>22</v>
      </c>
      <c r="T22" s="822">
        <v>22</v>
      </c>
      <c r="U22" s="820">
        <v>21</v>
      </c>
      <c r="V22" s="822">
        <v>21</v>
      </c>
      <c r="W22" s="820">
        <v>20</v>
      </c>
      <c r="X22" s="822">
        <v>21</v>
      </c>
      <c r="Y22" s="820">
        <v>21</v>
      </c>
      <c r="Z22" s="822">
        <v>20</v>
      </c>
      <c r="AA22" s="1411">
        <f>C22+E22+G22+I22+K22+M22+O22+Q22+S22+U22+W22+Y22</f>
        <v>250</v>
      </c>
      <c r="AB22" s="1411">
        <f>D22+F22+H22+J22+L22+N22+P22+R22+T22+V22+X22+Z22</f>
        <v>250</v>
      </c>
      <c r="AC22" s="959"/>
    </row>
    <row r="23" spans="1:31" ht="24" customHeight="1" thickTop="1" thickBot="1" x14ac:dyDescent="0.3">
      <c r="A23" s="426" t="s">
        <v>291</v>
      </c>
      <c r="B23" s="1619"/>
      <c r="C23" s="782">
        <f>'Clasificación del personal'!E65</f>
        <v>22.5</v>
      </c>
      <c r="D23" s="782">
        <f>'Clasificación del personal'!E77</f>
        <v>2</v>
      </c>
      <c r="E23" s="795">
        <f>'Clasificación del personal'!F65</f>
        <v>22.5</v>
      </c>
      <c r="F23" s="782">
        <f>'Clasificación del personal'!F77</f>
        <v>2</v>
      </c>
      <c r="G23" s="795">
        <f>'Clasificación del personal'!G65</f>
        <v>22.05</v>
      </c>
      <c r="H23" s="782">
        <f>'Clasificación del personal'!G77</f>
        <v>2</v>
      </c>
      <c r="I23" s="795">
        <f>'Clasificación del personal'!H65</f>
        <v>20.5</v>
      </c>
      <c r="J23" s="802">
        <f>'Clasificación del personal'!H77</f>
        <v>2</v>
      </c>
      <c r="K23" s="795">
        <f>'Clasificación del personal'!I65</f>
        <v>21.13</v>
      </c>
      <c r="L23" s="802">
        <f>'Clasificación del personal'!I77</f>
        <v>2</v>
      </c>
      <c r="M23" s="795">
        <f>'Clasificación del personal'!J65</f>
        <v>23.363</v>
      </c>
      <c r="N23" s="802">
        <f>'Clasificación del personal'!J77</f>
        <v>2</v>
      </c>
      <c r="O23" s="795">
        <f>'Clasificación del personal'!K65</f>
        <v>26.580000000000005</v>
      </c>
      <c r="P23" s="802">
        <f>'Clasificación del personal'!K77</f>
        <v>2</v>
      </c>
      <c r="Q23" s="795">
        <f>'Clasificación del personal'!L65</f>
        <v>26</v>
      </c>
      <c r="R23" s="802">
        <f>'Clasificación del personal'!L77</f>
        <v>2</v>
      </c>
      <c r="S23" s="795">
        <f>'Clasificación del personal'!M65</f>
        <v>27</v>
      </c>
      <c r="T23" s="802">
        <f>'Clasificación del personal'!M77</f>
        <v>2</v>
      </c>
      <c r="U23" s="813">
        <f>'Clasificación del personal'!N65</f>
        <v>26.72</v>
      </c>
      <c r="V23" s="802">
        <f>'Clasificación del personal'!N77</f>
        <v>2</v>
      </c>
      <c r="W23" s="813">
        <f>'Clasificación del personal'!O65</f>
        <v>26.15</v>
      </c>
      <c r="X23" s="802">
        <f>'Clasificación del personal'!O77</f>
        <v>2</v>
      </c>
      <c r="Y23" s="1415">
        <f>'Clasificación del personal'!P65</f>
        <v>25.380000000000003</v>
      </c>
      <c r="Z23" s="802">
        <f>'Clasificación del personal'!P77</f>
        <v>2</v>
      </c>
      <c r="AA23" s="404">
        <f>AVERAGE(C23,E23,G23,I23,K23,M23,O23,Q23,S23,U23,W23,Y23)</f>
        <v>24.156083333333331</v>
      </c>
      <c r="AB23" s="404">
        <f>AVERAGE(D23,F23,H23,J23,L23,N23,P23,R23,T23,V23,X23,Z23)</f>
        <v>2</v>
      </c>
      <c r="AC23" s="959"/>
    </row>
    <row r="24" spans="1:31" ht="24" customHeight="1" thickTop="1" thickBot="1" x14ac:dyDescent="0.3">
      <c r="A24" s="426" t="s">
        <v>382</v>
      </c>
      <c r="B24" s="1619"/>
      <c r="C24" s="781">
        <f>'Clasificación del personal'!E64</f>
        <v>8</v>
      </c>
      <c r="D24" s="781">
        <f>'Clasificación del personal'!E76</f>
        <v>3</v>
      </c>
      <c r="E24" s="820">
        <f>'Clasificación del personal'!F64</f>
        <v>9.25</v>
      </c>
      <c r="F24" s="781">
        <f>'Clasificación del personal'!F76</f>
        <v>3</v>
      </c>
      <c r="G24" s="820">
        <f>'Clasificación del personal'!G64</f>
        <v>9</v>
      </c>
      <c r="H24" s="781">
        <f>'Clasificación del personal'!G76</f>
        <v>3</v>
      </c>
      <c r="I24" s="820">
        <f>'Clasificación del personal'!H64</f>
        <v>9</v>
      </c>
      <c r="J24" s="823">
        <f>'Clasificación del personal'!H76</f>
        <v>3</v>
      </c>
      <c r="K24" s="820">
        <f>'Clasificación del personal'!I64</f>
        <v>9</v>
      </c>
      <c r="L24" s="823">
        <f>'Clasificación del personal'!I76</f>
        <v>3</v>
      </c>
      <c r="M24" s="820">
        <f>'Clasificación del personal'!J64</f>
        <v>9</v>
      </c>
      <c r="N24" s="823">
        <f>'Clasificación del personal'!J76</f>
        <v>3</v>
      </c>
      <c r="O24" s="820">
        <f>'Clasificación del personal'!K64</f>
        <v>9</v>
      </c>
      <c r="P24" s="823">
        <f>'Clasificación del personal'!K76</f>
        <v>3</v>
      </c>
      <c r="Q24" s="820">
        <f>'Clasificación del personal'!L64</f>
        <v>9</v>
      </c>
      <c r="R24" s="823">
        <f>'Clasificación del personal'!L76</f>
        <v>3</v>
      </c>
      <c r="S24" s="820">
        <f>'Clasificación del personal'!M64</f>
        <v>9</v>
      </c>
      <c r="T24" s="823">
        <f>'Clasificación del personal'!M76</f>
        <v>3</v>
      </c>
      <c r="U24" s="820">
        <f>'Clasificación del personal'!N64</f>
        <v>9</v>
      </c>
      <c r="V24" s="823">
        <f>'Clasificación del personal'!O76</f>
        <v>3.29</v>
      </c>
      <c r="W24" s="820">
        <f>'Clasificación del personal'!O64</f>
        <v>9</v>
      </c>
      <c r="X24" s="823">
        <f>'Clasificación del personal'!O76</f>
        <v>3.29</v>
      </c>
      <c r="Y24" s="888">
        <f>'Clasificación del personal'!P64</f>
        <v>9</v>
      </c>
      <c r="Z24" s="823">
        <f>'Clasificación del personal'!Q76</f>
        <v>0</v>
      </c>
      <c r="AA24" s="404">
        <f t="shared" ref="AA24:AA34" si="5">AVERAGE(C24,E24,G24,I24,K24,M24,O24,Q24,S24,U24,W24,Y24)</f>
        <v>8.9375</v>
      </c>
      <c r="AB24" s="404">
        <f t="shared" ref="AB24:AB34" si="6">AVERAGE(D24,F24,H24,J24,L24,N24,P24,R24,T24,V24,X24,Z24)</f>
        <v>2.7983333333333333</v>
      </c>
      <c r="AC24" s="959"/>
    </row>
    <row r="25" spans="1:31" ht="24" customHeight="1" thickTop="1" thickBot="1" x14ac:dyDescent="0.3">
      <c r="A25" s="426" t="s">
        <v>421</v>
      </c>
      <c r="B25" s="1619"/>
      <c r="C25" s="782">
        <f>'Clasificación del personal'!E63</f>
        <v>2.5</v>
      </c>
      <c r="D25" s="802">
        <f>'Clasificación del personal'!E75</f>
        <v>2.5</v>
      </c>
      <c r="E25" s="795">
        <f>'Clasificación del personal'!F63</f>
        <v>2.5</v>
      </c>
      <c r="F25" s="802">
        <f>'Clasificación del personal'!F75</f>
        <v>2.5</v>
      </c>
      <c r="G25" s="795">
        <f>'Clasificación del personal'!G63</f>
        <v>2.5</v>
      </c>
      <c r="H25" s="802">
        <f>'Clasificación del personal'!G75</f>
        <v>2.5</v>
      </c>
      <c r="I25" s="795">
        <f>'Clasificación del personal'!H63</f>
        <v>2.5</v>
      </c>
      <c r="J25" s="802">
        <f>'Clasificación del personal'!H75</f>
        <v>2.5</v>
      </c>
      <c r="K25" s="795">
        <f>'Clasificación del personal'!I63</f>
        <v>2.5</v>
      </c>
      <c r="L25" s="802">
        <f>'Clasificación del personal'!I75</f>
        <v>2.5</v>
      </c>
      <c r="M25" s="795">
        <f>'Clasificación del personal'!J63</f>
        <v>2.5</v>
      </c>
      <c r="N25" s="802">
        <f>'Clasificación del personal'!J75</f>
        <v>2.5</v>
      </c>
      <c r="O25" s="795">
        <f>'Clasificación del personal'!K63</f>
        <v>2.5</v>
      </c>
      <c r="P25" s="802">
        <f>'Clasificación del personal'!K75</f>
        <v>2.5</v>
      </c>
      <c r="Q25" s="795">
        <f>'Clasificación del personal'!L63</f>
        <v>2.5</v>
      </c>
      <c r="R25" s="802">
        <f>'Clasificación del personal'!L75</f>
        <v>2.5</v>
      </c>
      <c r="S25" s="795">
        <f>'Clasificación del personal'!M63</f>
        <v>2.5</v>
      </c>
      <c r="T25" s="802">
        <f>'Clasificación del personal'!M75</f>
        <v>2.5</v>
      </c>
      <c r="U25" s="795">
        <f>'Clasificación del personal'!N63</f>
        <v>2.5</v>
      </c>
      <c r="V25" s="802">
        <f>'Clasificación del personal'!O75</f>
        <v>2.5</v>
      </c>
      <c r="W25" s="795">
        <f>'Clasificación del personal'!O63</f>
        <v>2.5</v>
      </c>
      <c r="X25" s="802">
        <f>'Clasificación del personal'!O75</f>
        <v>2.5</v>
      </c>
      <c r="Y25" s="1009">
        <f>'Clasificación del personal'!P63</f>
        <v>2.5</v>
      </c>
      <c r="Z25" s="802">
        <f>'Clasificación del personal'!Q75</f>
        <v>0</v>
      </c>
      <c r="AA25" s="404">
        <f t="shared" si="5"/>
        <v>2.5</v>
      </c>
      <c r="AB25" s="404">
        <f t="shared" si="6"/>
        <v>2.2916666666666665</v>
      </c>
      <c r="AC25" s="959"/>
    </row>
    <row r="26" spans="1:31" ht="24" customHeight="1" thickTop="1" thickBot="1" x14ac:dyDescent="0.3">
      <c r="A26" s="426" t="s">
        <v>292</v>
      </c>
      <c r="B26" s="1620"/>
      <c r="C26" s="781">
        <f t="shared" ref="C26:Z26" si="7">SUM(C$23:C$25)</f>
        <v>33</v>
      </c>
      <c r="D26" s="823">
        <f t="shared" si="7"/>
        <v>7.5</v>
      </c>
      <c r="E26" s="888">
        <f t="shared" si="7"/>
        <v>34.25</v>
      </c>
      <c r="F26" s="823">
        <f t="shared" si="7"/>
        <v>7.5</v>
      </c>
      <c r="G26" s="888">
        <f t="shared" si="7"/>
        <v>33.549999999999997</v>
      </c>
      <c r="H26" s="823">
        <f t="shared" si="7"/>
        <v>7.5</v>
      </c>
      <c r="I26" s="888">
        <f t="shared" si="7"/>
        <v>32</v>
      </c>
      <c r="J26" s="823">
        <f t="shared" si="7"/>
        <v>7.5</v>
      </c>
      <c r="K26" s="888">
        <f t="shared" si="7"/>
        <v>32.629999999999995</v>
      </c>
      <c r="L26" s="823">
        <f t="shared" si="7"/>
        <v>7.5</v>
      </c>
      <c r="M26" s="820">
        <f t="shared" si="7"/>
        <v>34.863</v>
      </c>
      <c r="N26" s="823">
        <f t="shared" si="7"/>
        <v>7.5</v>
      </c>
      <c r="O26" s="888">
        <f t="shared" si="7"/>
        <v>38.080000000000005</v>
      </c>
      <c r="P26" s="823">
        <f t="shared" si="7"/>
        <v>7.5</v>
      </c>
      <c r="Q26" s="888">
        <f t="shared" si="7"/>
        <v>37.5</v>
      </c>
      <c r="R26" s="823">
        <f t="shared" si="7"/>
        <v>7.5</v>
      </c>
      <c r="S26" s="888">
        <f t="shared" si="7"/>
        <v>38.5</v>
      </c>
      <c r="T26" s="823">
        <f t="shared" si="7"/>
        <v>7.5</v>
      </c>
      <c r="U26" s="888">
        <f t="shared" si="7"/>
        <v>38.22</v>
      </c>
      <c r="V26" s="823">
        <f t="shared" si="7"/>
        <v>7.79</v>
      </c>
      <c r="W26" s="1414">
        <f>SUM(W$23:W$25)</f>
        <v>37.65</v>
      </c>
      <c r="X26" s="823">
        <f t="shared" si="7"/>
        <v>7.79</v>
      </c>
      <c r="Y26" s="888">
        <f t="shared" si="7"/>
        <v>36.880000000000003</v>
      </c>
      <c r="Z26" s="823">
        <f t="shared" si="7"/>
        <v>2</v>
      </c>
      <c r="AA26" s="404">
        <f t="shared" si="5"/>
        <v>35.593583333333335</v>
      </c>
      <c r="AB26" s="404">
        <f t="shared" si="6"/>
        <v>7.0900000000000007</v>
      </c>
      <c r="AC26" s="959"/>
    </row>
    <row r="27" spans="1:31" ht="21.95" customHeight="1" thickTop="1" thickBot="1" x14ac:dyDescent="0.3">
      <c r="A27" s="1617" t="s">
        <v>293</v>
      </c>
      <c r="B27" s="472" t="s">
        <v>142</v>
      </c>
      <c r="C27" s="782">
        <f>'Clasificación del personal'!E68</f>
        <v>18</v>
      </c>
      <c r="D27" s="802">
        <f>'Clasificación del personal'!E80</f>
        <v>6.5</v>
      </c>
      <c r="E27" s="795">
        <f>'Clasificación del personal'!F68</f>
        <v>19.25</v>
      </c>
      <c r="F27" s="802">
        <f>'Clasificación del personal'!F80</f>
        <v>6.5</v>
      </c>
      <c r="G27" s="795">
        <f>'Clasificación del personal'!G68</f>
        <v>20</v>
      </c>
      <c r="H27" s="802">
        <f>'Clasificación del personal'!G80</f>
        <v>6.5</v>
      </c>
      <c r="I27" s="782">
        <f>'Clasificación del personal'!H68</f>
        <v>20</v>
      </c>
      <c r="J27" s="802">
        <f>'Clasificación del personal'!H80</f>
        <v>6.5</v>
      </c>
      <c r="K27" s="795">
        <f>'Clasificación del personal'!I68</f>
        <v>20</v>
      </c>
      <c r="L27" s="802">
        <f>'Clasificación del personal'!I80</f>
        <v>6.5</v>
      </c>
      <c r="M27" s="795">
        <f>'Clasificación del personal'!J68</f>
        <v>20</v>
      </c>
      <c r="N27" s="802">
        <f>'Clasificación del personal'!J80</f>
        <v>6.5</v>
      </c>
      <c r="O27" s="782">
        <f>'Clasificación del personal'!K68</f>
        <v>20</v>
      </c>
      <c r="P27" s="802">
        <f>'Clasificación del personal'!K80</f>
        <v>6.5</v>
      </c>
      <c r="Q27" s="795">
        <f>'Clasificación del personal'!L68</f>
        <v>20</v>
      </c>
      <c r="R27" s="802">
        <f>'Clasificación del personal'!L80</f>
        <v>6.5</v>
      </c>
      <c r="S27" s="795">
        <f>'Clasificación del personal'!M68</f>
        <v>20</v>
      </c>
      <c r="T27" s="802">
        <f>'Clasificación del personal'!M80</f>
        <v>6.5</v>
      </c>
      <c r="U27" s="782">
        <f>'Clasificación del personal'!N68</f>
        <v>20</v>
      </c>
      <c r="V27" s="802">
        <f>'Clasificación del personal'!N80</f>
        <v>6.5</v>
      </c>
      <c r="W27" s="795">
        <f>'Clasificación del personal'!O68</f>
        <v>20</v>
      </c>
      <c r="X27" s="802">
        <f>'Clasificación del personal'!O80</f>
        <v>6.79</v>
      </c>
      <c r="Y27" s="795">
        <f>'Clasificación del personal'!P68</f>
        <v>20</v>
      </c>
      <c r="Z27" s="802">
        <f>'Clasificación del personal'!P80</f>
        <v>6.5</v>
      </c>
      <c r="AA27" s="404">
        <f t="shared" si="5"/>
        <v>19.770833333333332</v>
      </c>
      <c r="AB27" s="404">
        <f t="shared" si="6"/>
        <v>6.5241666666666669</v>
      </c>
      <c r="AC27" s="959"/>
    </row>
    <row r="28" spans="1:31" ht="21.95" customHeight="1" thickTop="1" thickBot="1" x14ac:dyDescent="0.3">
      <c r="A28" s="1538"/>
      <c r="B28" s="426" t="s">
        <v>143</v>
      </c>
      <c r="C28" s="781">
        <f>'Clasificación del personal'!E69</f>
        <v>15</v>
      </c>
      <c r="D28" s="823">
        <f>'Clasificación del personal'!E81</f>
        <v>1</v>
      </c>
      <c r="E28" s="820">
        <f>'Clasificación del personal'!F69</f>
        <v>15</v>
      </c>
      <c r="F28" s="823">
        <f>'Clasificación del personal'!F81</f>
        <v>1</v>
      </c>
      <c r="G28" s="820">
        <f>'Clasificación del personal'!G69</f>
        <v>13.55</v>
      </c>
      <c r="H28" s="823">
        <f>'Clasificación del personal'!G81</f>
        <v>1</v>
      </c>
      <c r="I28" s="781">
        <f>'Clasificación del personal'!H69</f>
        <v>12</v>
      </c>
      <c r="J28" s="823">
        <f>'Clasificación del personal'!H81</f>
        <v>1</v>
      </c>
      <c r="K28" s="820">
        <f>'Clasificación del personal'!I69</f>
        <v>11</v>
      </c>
      <c r="L28" s="823">
        <f>'Clasificación del personal'!I81</f>
        <v>1</v>
      </c>
      <c r="M28" s="820">
        <f>'Clasificación del personal'!J69</f>
        <v>10.23</v>
      </c>
      <c r="N28" s="823">
        <f>'Clasificación del personal'!K81</f>
        <v>1</v>
      </c>
      <c r="O28" s="781">
        <f>'Clasificación del personal'!K69</f>
        <v>9.7899999999999991</v>
      </c>
      <c r="P28" s="823">
        <f>'Clasificación del personal'!K81</f>
        <v>1</v>
      </c>
      <c r="Q28" s="820">
        <f>'Clasificación del personal'!L69</f>
        <v>9</v>
      </c>
      <c r="R28" s="823">
        <f>'Clasificación del personal'!L81</f>
        <v>1</v>
      </c>
      <c r="S28" s="820">
        <f>'Clasificación del personal'!M69</f>
        <v>9</v>
      </c>
      <c r="T28" s="823">
        <f>'Clasificación del personal'!M81</f>
        <v>1</v>
      </c>
      <c r="U28" s="781">
        <f>'Clasificación del personal'!N69</f>
        <v>9</v>
      </c>
      <c r="V28" s="823">
        <f>'Clasificación del personal'!N81</f>
        <v>1</v>
      </c>
      <c r="W28" s="820">
        <f>'Clasificación del personal'!O69</f>
        <v>9.15</v>
      </c>
      <c r="X28" s="823">
        <f>'Clasificación del personal'!O81</f>
        <v>1</v>
      </c>
      <c r="Y28" s="820">
        <f>'Clasificación del personal'!P69</f>
        <v>8.76</v>
      </c>
      <c r="Z28" s="823">
        <f>'Clasificación del personal'!P81</f>
        <v>1</v>
      </c>
      <c r="AA28" s="404">
        <f t="shared" si="5"/>
        <v>10.956666666666665</v>
      </c>
      <c r="AB28" s="404">
        <f t="shared" si="6"/>
        <v>1</v>
      </c>
      <c r="AC28" s="959"/>
    </row>
    <row r="29" spans="1:31" ht="21.95" customHeight="1" thickTop="1" thickBot="1" x14ac:dyDescent="0.3">
      <c r="A29" s="1539"/>
      <c r="B29" s="472" t="s">
        <v>144</v>
      </c>
      <c r="C29" s="782">
        <f>'Clasificación del personal'!E70</f>
        <v>0</v>
      </c>
      <c r="D29" s="802">
        <f>'Clasificación del personal'!E82</f>
        <v>0</v>
      </c>
      <c r="E29" s="795">
        <f>'Clasificación del personal'!F70</f>
        <v>0</v>
      </c>
      <c r="F29" s="802">
        <f>'Clasificación del personal'!F82</f>
        <v>0</v>
      </c>
      <c r="G29" s="795">
        <f>'Clasificación del personal'!G70</f>
        <v>0</v>
      </c>
      <c r="H29" s="802">
        <f>'Clasificación del personal'!G82</f>
        <v>0</v>
      </c>
      <c r="I29" s="782">
        <f>'Clasificación del personal'!H70</f>
        <v>0</v>
      </c>
      <c r="J29" s="802">
        <f>'Clasificación del personal'!H82</f>
        <v>0</v>
      </c>
      <c r="K29" s="795">
        <f>'Clasificación del personal'!I70</f>
        <v>1.63</v>
      </c>
      <c r="L29" s="802">
        <f>'Clasificación del personal'!I82</f>
        <v>0</v>
      </c>
      <c r="M29" s="795">
        <f>'Clasificación del personal'!J70</f>
        <v>4.6329999999999991</v>
      </c>
      <c r="N29" s="802">
        <f>'Clasificación del personal'!K82</f>
        <v>0</v>
      </c>
      <c r="O29" s="782">
        <f>'Clasificación del personal'!K70</f>
        <v>8.2900000000000009</v>
      </c>
      <c r="P29" s="802">
        <f>'Clasificación del personal'!K82</f>
        <v>0</v>
      </c>
      <c r="Q29" s="795">
        <f>'Clasificación del personal'!L70</f>
        <v>8.5</v>
      </c>
      <c r="R29" s="802">
        <f>'Clasificación del personal'!L82</f>
        <v>0</v>
      </c>
      <c r="S29" s="795">
        <f>'Clasificación del personal'!M70</f>
        <v>9.5</v>
      </c>
      <c r="T29" s="802">
        <f>'Clasificación del personal'!M82</f>
        <v>0</v>
      </c>
      <c r="U29" s="782">
        <f>'Clasificación del personal'!N70</f>
        <v>9.2199999999999989</v>
      </c>
      <c r="V29" s="802">
        <f>'Clasificación del personal'!N82</f>
        <v>0</v>
      </c>
      <c r="W29" s="795">
        <f>'Clasificación del personal'!O70</f>
        <v>8.5</v>
      </c>
      <c r="X29" s="802">
        <f>'Clasificación del personal'!O82</f>
        <v>0</v>
      </c>
      <c r="Y29" s="795">
        <f>'Clasificación del personal'!P70</f>
        <v>8.120000000000001</v>
      </c>
      <c r="Z29" s="802">
        <f>'Clasificación del personal'!Q82</f>
        <v>0</v>
      </c>
      <c r="AA29" s="404">
        <f t="shared" si="5"/>
        <v>4.8660833333333331</v>
      </c>
      <c r="AB29" s="404">
        <f t="shared" si="6"/>
        <v>0</v>
      </c>
      <c r="AC29" s="959"/>
    </row>
    <row r="30" spans="1:31" ht="21.95" customHeight="1" thickTop="1" thickBot="1" x14ac:dyDescent="0.3">
      <c r="A30" s="1537" t="s">
        <v>294</v>
      </c>
      <c r="B30" s="427" t="s">
        <v>281</v>
      </c>
      <c r="C30" s="783">
        <v>2.47E-2</v>
      </c>
      <c r="D30" s="783"/>
      <c r="E30" s="821">
        <v>1.6000000000000001E-3</v>
      </c>
      <c r="F30" s="783"/>
      <c r="G30" s="821">
        <v>6.1000000000000004E-3</v>
      </c>
      <c r="H30" s="783"/>
      <c r="I30" s="821">
        <v>1.0999999999999999E-2</v>
      </c>
      <c r="J30" s="824">
        <v>2.4500000000000001E-2</v>
      </c>
      <c r="K30" s="821">
        <v>0</v>
      </c>
      <c r="L30" s="824"/>
      <c r="M30" s="821">
        <v>2.9999999999999997E-4</v>
      </c>
      <c r="N30" s="824">
        <v>0</v>
      </c>
      <c r="O30" s="821">
        <v>2.0000000000000001E-4</v>
      </c>
      <c r="P30" s="824">
        <v>0</v>
      </c>
      <c r="Q30" s="821">
        <v>8.0999999999999996E-3</v>
      </c>
      <c r="R30" s="824">
        <v>4.4999999999999997E-3</v>
      </c>
      <c r="S30" s="821">
        <v>3.9600000000000003E-2</v>
      </c>
      <c r="T30" s="824">
        <v>4.5499999999999999E-2</v>
      </c>
      <c r="U30" s="821">
        <v>3.85E-2</v>
      </c>
      <c r="V30" s="824">
        <v>7.9000000000000008E-3</v>
      </c>
      <c r="W30" s="821">
        <v>4.53E-2</v>
      </c>
      <c r="X30" s="824">
        <v>0</v>
      </c>
      <c r="Y30" s="821">
        <v>3.8899999999999997E-2</v>
      </c>
      <c r="Z30" s="824">
        <v>4.6300000000000001E-2</v>
      </c>
      <c r="AA30" s="404">
        <f t="shared" si="5"/>
        <v>1.7858333333333334E-2</v>
      </c>
      <c r="AB30" s="404">
        <f t="shared" si="6"/>
        <v>1.6087500000000001E-2</v>
      </c>
      <c r="AC30" s="959"/>
    </row>
    <row r="31" spans="1:31" ht="21.95" customHeight="1" thickTop="1" thickBot="1" x14ac:dyDescent="0.3">
      <c r="A31" s="1538"/>
      <c r="B31" s="427" t="s">
        <v>1032</v>
      </c>
      <c r="C31" s="1240"/>
      <c r="D31" s="1240"/>
      <c r="E31" s="1240"/>
      <c r="F31" s="1240"/>
      <c r="G31" s="1240"/>
      <c r="H31" s="1240"/>
      <c r="I31" s="1240"/>
      <c r="J31" s="1240"/>
      <c r="K31" s="1434">
        <v>0</v>
      </c>
      <c r="L31" s="1240"/>
      <c r="M31" s="1434">
        <v>0</v>
      </c>
      <c r="N31" s="1240"/>
      <c r="O31" s="1434">
        <v>1.4500000000000001E-2</v>
      </c>
      <c r="P31" s="1240"/>
      <c r="Q31" s="1434">
        <v>2.0000000000000001E-4</v>
      </c>
      <c r="R31" s="1240"/>
      <c r="S31" s="1434">
        <v>2.8999999999999998E-3</v>
      </c>
      <c r="T31" s="1240"/>
      <c r="U31" s="1434">
        <v>3.0999999999999999E-3</v>
      </c>
      <c r="V31" s="1240"/>
      <c r="W31" s="1434">
        <v>0</v>
      </c>
      <c r="X31" s="1240"/>
      <c r="Y31" s="1434">
        <v>2.0000000000000001E-4</v>
      </c>
      <c r="Z31" s="1240"/>
      <c r="AA31" s="404">
        <f t="shared" si="5"/>
        <v>2.6124999999999998E-3</v>
      </c>
      <c r="AB31" s="404" t="e">
        <f t="shared" si="6"/>
        <v>#DIV/0!</v>
      </c>
      <c r="AC31" s="959"/>
    </row>
    <row r="32" spans="1:31" ht="21.95" customHeight="1" thickTop="1" thickBot="1" x14ac:dyDescent="0.3">
      <c r="A32" s="1538"/>
      <c r="B32" s="427" t="s">
        <v>282</v>
      </c>
      <c r="C32" s="1240"/>
      <c r="D32" s="1012"/>
      <c r="E32" s="808"/>
      <c r="F32" s="1012"/>
      <c r="G32" s="808"/>
      <c r="H32" s="1012"/>
      <c r="I32" s="808"/>
      <c r="J32" s="1012"/>
      <c r="K32" s="808"/>
      <c r="L32" s="1012"/>
      <c r="M32" s="808"/>
      <c r="N32" s="1012"/>
      <c r="O32" s="808"/>
      <c r="P32" s="1012"/>
      <c r="Q32" s="808"/>
      <c r="R32" s="1012"/>
      <c r="S32" s="808"/>
      <c r="T32" s="1012"/>
      <c r="U32" s="808"/>
      <c r="V32" s="1012"/>
      <c r="W32" s="808"/>
      <c r="X32" s="1012"/>
      <c r="Y32" s="808"/>
      <c r="Z32" s="1012"/>
      <c r="AA32" s="404" t="e">
        <f t="shared" si="5"/>
        <v>#DIV/0!</v>
      </c>
      <c r="AB32" s="404" t="e">
        <f t="shared" si="6"/>
        <v>#DIV/0!</v>
      </c>
      <c r="AC32" s="959"/>
      <c r="AD32" s="435"/>
      <c r="AE32" s="435"/>
    </row>
    <row r="33" spans="1:29" ht="21.95" customHeight="1" thickTop="1" thickBot="1" x14ac:dyDescent="0.3">
      <c r="A33" s="1538"/>
      <c r="B33" s="427" t="s">
        <v>1033</v>
      </c>
      <c r="C33" s="1433">
        <v>0.25</v>
      </c>
      <c r="D33" s="1012"/>
      <c r="E33" s="1434">
        <v>0.20419999999999999</v>
      </c>
      <c r="F33" s="1012"/>
      <c r="G33" s="1434">
        <v>0</v>
      </c>
      <c r="H33" s="1012"/>
      <c r="I33" s="1434">
        <v>1E-3</v>
      </c>
      <c r="J33" s="1012"/>
      <c r="K33" s="1434">
        <v>5.0500000000000003E-2</v>
      </c>
      <c r="L33" s="1012"/>
      <c r="M33" s="1434">
        <v>1.5E-3</v>
      </c>
      <c r="N33" s="1012"/>
      <c r="O33" s="1444"/>
      <c r="P33" s="1443"/>
      <c r="Q33" s="1444"/>
      <c r="R33" s="1443"/>
      <c r="S33" s="1444"/>
      <c r="T33" s="1443"/>
      <c r="U33" s="1444"/>
      <c r="V33" s="1443"/>
      <c r="W33" s="1444"/>
      <c r="X33" s="1443"/>
      <c r="Y33" s="1444"/>
      <c r="Z33" s="1443"/>
      <c r="AA33" s="404">
        <f t="shared" si="5"/>
        <v>8.4533333333333335E-2</v>
      </c>
      <c r="AB33" s="404" t="e">
        <f t="shared" si="6"/>
        <v>#DIV/0!</v>
      </c>
      <c r="AC33" s="959"/>
    </row>
    <row r="34" spans="1:29" ht="21.95" customHeight="1" thickTop="1" thickBot="1" x14ac:dyDescent="0.3">
      <c r="A34" s="1538"/>
      <c r="B34" s="427" t="s">
        <v>305</v>
      </c>
      <c r="C34" s="783">
        <v>2.75E-2</v>
      </c>
      <c r="D34" s="1012"/>
      <c r="E34" s="821">
        <v>8.3999999999999995E-3</v>
      </c>
      <c r="F34" s="1012"/>
      <c r="G34" s="821">
        <v>6.0000000000000001E-3</v>
      </c>
      <c r="H34" s="1012"/>
      <c r="I34" s="821">
        <v>0.01</v>
      </c>
      <c r="J34" s="1012"/>
      <c r="K34" s="821">
        <v>4.5999999999999999E-3</v>
      </c>
      <c r="L34" s="1012"/>
      <c r="M34" s="821">
        <v>4.0000000000000002E-4</v>
      </c>
      <c r="N34" s="1012"/>
      <c r="O34" s="821">
        <v>3.8999999999999998E-3</v>
      </c>
      <c r="P34" s="824">
        <v>0</v>
      </c>
      <c r="Q34" s="821">
        <v>6.1000000000000004E-3</v>
      </c>
      <c r="R34" s="824">
        <v>4.4999999999999997E-3</v>
      </c>
      <c r="S34" s="821">
        <v>3.0599999999999999E-2</v>
      </c>
      <c r="T34" s="824">
        <v>4.5499999999999999E-2</v>
      </c>
      <c r="U34" s="821">
        <v>3.0200000000000001E-2</v>
      </c>
      <c r="V34" s="824">
        <v>7.9000000000000008E-3</v>
      </c>
      <c r="W34" s="821">
        <v>3.6299999999999999E-2</v>
      </c>
      <c r="X34" s="824">
        <v>0</v>
      </c>
      <c r="Y34" s="821">
        <v>3.15E-2</v>
      </c>
      <c r="Z34" s="824">
        <v>4.6300000000000001E-2</v>
      </c>
      <c r="AA34" s="1416">
        <f t="shared" si="5"/>
        <v>1.6291666666666666E-2</v>
      </c>
      <c r="AB34" s="1416">
        <f t="shared" si="6"/>
        <v>1.7366666666666666E-2</v>
      </c>
      <c r="AC34" s="959"/>
    </row>
    <row r="35" spans="1:29" ht="21.95" customHeight="1" thickTop="1" thickBot="1" x14ac:dyDescent="0.35">
      <c r="A35" s="1539"/>
      <c r="B35" s="427" t="s">
        <v>306</v>
      </c>
      <c r="C35" s="559"/>
      <c r="D35" s="1012"/>
      <c r="E35" s="808"/>
      <c r="F35" s="1012"/>
      <c r="G35" s="1026">
        <v>1.35E-2</v>
      </c>
      <c r="H35" s="1027">
        <v>4.3E-3</v>
      </c>
      <c r="I35" s="808"/>
      <c r="J35" s="1012"/>
      <c r="K35" s="808"/>
      <c r="L35" s="1012"/>
      <c r="M35" s="940">
        <v>4.7999999999999996E-3</v>
      </c>
      <c r="N35" s="939">
        <v>7.9000000000000008E-3</v>
      </c>
      <c r="O35" s="808"/>
      <c r="P35" s="1012"/>
      <c r="Q35" s="808"/>
      <c r="R35" s="1012"/>
      <c r="S35" s="940">
        <v>1.3599999999999999E-2</v>
      </c>
      <c r="T35" s="939">
        <v>1.66E-2</v>
      </c>
      <c r="U35" s="808"/>
      <c r="V35" s="1012"/>
      <c r="W35" s="808"/>
      <c r="X35" s="1012"/>
      <c r="Y35" s="940">
        <v>3.2599999999999997E-2</v>
      </c>
      <c r="Z35" s="939">
        <v>1.6400000000000001E-2</v>
      </c>
      <c r="AA35" s="1416">
        <f>AVERAGE(G35,M35,S35,Y35)</f>
        <v>1.6125E-2</v>
      </c>
      <c r="AB35" s="1416">
        <f>AVERAGE(H35,N35,T35,Z35)</f>
        <v>1.1300000000000001E-2</v>
      </c>
      <c r="AC35" s="959"/>
    </row>
    <row r="36" spans="1:29" ht="19.5" customHeight="1" thickTop="1" thickBot="1" x14ac:dyDescent="0.3">
      <c r="A36" s="1617" t="s">
        <v>295</v>
      </c>
      <c r="B36" s="472" t="s">
        <v>145</v>
      </c>
      <c r="C36" s="801">
        <v>0</v>
      </c>
      <c r="D36" s="802">
        <v>0</v>
      </c>
      <c r="E36" s="795">
        <v>0</v>
      </c>
      <c r="F36" s="802">
        <v>0</v>
      </c>
      <c r="G36" s="795">
        <v>0</v>
      </c>
      <c r="H36" s="802">
        <v>0</v>
      </c>
      <c r="I36" s="795">
        <v>0</v>
      </c>
      <c r="J36" s="802">
        <v>0</v>
      </c>
      <c r="K36" s="795">
        <v>0</v>
      </c>
      <c r="L36" s="802">
        <v>0</v>
      </c>
      <c r="M36" s="795">
        <v>0</v>
      </c>
      <c r="N36" s="802">
        <v>0</v>
      </c>
      <c r="O36" s="795">
        <v>0</v>
      </c>
      <c r="P36" s="802">
        <v>0</v>
      </c>
      <c r="Q36" s="795">
        <v>0</v>
      </c>
      <c r="R36" s="802">
        <v>0</v>
      </c>
      <c r="S36" s="795">
        <v>0</v>
      </c>
      <c r="T36" s="802">
        <v>0</v>
      </c>
      <c r="U36" s="795">
        <v>0</v>
      </c>
      <c r="V36" s="802">
        <v>1</v>
      </c>
      <c r="W36" s="795">
        <v>0</v>
      </c>
      <c r="X36" s="802">
        <v>0</v>
      </c>
      <c r="Y36" s="795">
        <v>0</v>
      </c>
      <c r="Z36" s="802">
        <v>0</v>
      </c>
      <c r="AA36" s="404">
        <f>C36+E36+G36+I36+K36+M36+O36+Q36+S36+U36+W36+Y36</f>
        <v>0</v>
      </c>
      <c r="AB36" s="404">
        <f>D36+F36+H36+J36+L36+N36+P36+R36+T36+V36+X36+Z36</f>
        <v>1</v>
      </c>
      <c r="AC36" s="959"/>
    </row>
    <row r="37" spans="1:29" ht="21.95" customHeight="1" thickTop="1" thickBot="1" x14ac:dyDescent="0.3">
      <c r="A37" s="1539"/>
      <c r="B37" s="426" t="s">
        <v>146</v>
      </c>
      <c r="C37" s="1156">
        <v>0</v>
      </c>
      <c r="D37" s="1157">
        <v>0</v>
      </c>
      <c r="E37" s="1158">
        <v>0</v>
      </c>
      <c r="F37" s="1159">
        <v>0</v>
      </c>
      <c r="G37" s="1158">
        <v>0</v>
      </c>
      <c r="H37" s="1159">
        <v>0</v>
      </c>
      <c r="I37" s="1158">
        <v>0</v>
      </c>
      <c r="J37" s="1159">
        <v>0</v>
      </c>
      <c r="K37" s="1158">
        <v>0</v>
      </c>
      <c r="L37" s="1159">
        <v>0</v>
      </c>
      <c r="M37" s="1158">
        <v>0</v>
      </c>
      <c r="N37" s="1159">
        <v>0</v>
      </c>
      <c r="O37" s="1158">
        <v>0</v>
      </c>
      <c r="P37" s="1159">
        <v>0</v>
      </c>
      <c r="Q37" s="1158">
        <v>0</v>
      </c>
      <c r="R37" s="1159">
        <v>0</v>
      </c>
      <c r="S37" s="1158">
        <v>0</v>
      </c>
      <c r="T37" s="1159">
        <v>0</v>
      </c>
      <c r="U37" s="1158">
        <v>0</v>
      </c>
      <c r="V37" s="1159">
        <v>0</v>
      </c>
      <c r="W37" s="1158">
        <v>0</v>
      </c>
      <c r="X37" s="1159">
        <v>0</v>
      </c>
      <c r="Y37" s="1158">
        <v>0</v>
      </c>
      <c r="Z37" s="1159">
        <v>0</v>
      </c>
      <c r="AA37" s="1160">
        <f>C37+E37+G37+I37+K37+M37+O37+Q37+S37+U37+W37+Y37</f>
        <v>0</v>
      </c>
      <c r="AB37" s="1160">
        <f>D37+F37+H37+J37+L37+N37+P37+R37+T37+V37+X37+Z37</f>
        <v>0</v>
      </c>
      <c r="AC37" s="959"/>
    </row>
    <row r="38" spans="1:29" ht="28.5" customHeight="1" thickTop="1" thickBot="1" x14ac:dyDescent="0.3">
      <c r="A38" s="1651" t="s">
        <v>784</v>
      </c>
      <c r="B38" s="1163" t="s">
        <v>785</v>
      </c>
      <c r="C38" s="1161"/>
      <c r="D38" s="1164"/>
      <c r="E38" s="1209"/>
      <c r="F38" s="1164"/>
      <c r="G38" s="1209"/>
      <c r="H38" s="1164"/>
      <c r="I38" s="1209"/>
      <c r="J38" s="1164"/>
      <c r="K38" s="1209"/>
      <c r="L38" s="1164"/>
      <c r="M38" s="1209"/>
      <c r="N38" s="1164"/>
      <c r="O38" s="1209"/>
      <c r="P38" s="1164"/>
      <c r="Q38" s="1209"/>
      <c r="R38" s="1164"/>
      <c r="S38" s="1209"/>
      <c r="T38" s="1164"/>
      <c r="U38" s="1209"/>
      <c r="V38" s="1164"/>
      <c r="W38" s="1209"/>
      <c r="X38" s="1164"/>
      <c r="Y38" s="1209">
        <v>0.61099999999999999</v>
      </c>
      <c r="Z38" s="1161"/>
      <c r="AA38" s="1162"/>
      <c r="AB38" s="1162"/>
      <c r="AC38" s="959"/>
    </row>
    <row r="39" spans="1:29" ht="28.5" customHeight="1" thickTop="1" thickBot="1" x14ac:dyDescent="0.3">
      <c r="A39" s="1652"/>
      <c r="B39" s="1163" t="s">
        <v>786</v>
      </c>
      <c r="C39" s="1161"/>
      <c r="D39" s="1164"/>
      <c r="E39" s="1209"/>
      <c r="F39" s="1164"/>
      <c r="G39" s="1209"/>
      <c r="H39" s="1164"/>
      <c r="I39" s="1209"/>
      <c r="J39" s="1164"/>
      <c r="K39" s="1209"/>
      <c r="L39" s="1164"/>
      <c r="M39" s="1209"/>
      <c r="N39" s="1164"/>
      <c r="O39" s="1209"/>
      <c r="P39" s="1164"/>
      <c r="Q39" s="1209"/>
      <c r="R39" s="1164"/>
      <c r="S39" s="1209"/>
      <c r="T39" s="1164"/>
      <c r="U39" s="1209"/>
      <c r="V39" s="1164"/>
      <c r="W39" s="1209"/>
      <c r="X39" s="1164"/>
      <c r="Y39" s="1209">
        <v>0.69399999999999995</v>
      </c>
      <c r="Z39" s="1161"/>
      <c r="AA39" s="1162"/>
      <c r="AB39" s="1162"/>
      <c r="AC39" s="959"/>
    </row>
    <row r="40" spans="1:29" ht="28.5" customHeight="1" thickTop="1" thickBot="1" x14ac:dyDescent="0.3">
      <c r="A40" s="1652"/>
      <c r="B40" s="1163" t="s">
        <v>787</v>
      </c>
      <c r="C40" s="1161"/>
      <c r="D40" s="1164"/>
      <c r="E40" s="1209"/>
      <c r="F40" s="1164"/>
      <c r="G40" s="1209"/>
      <c r="H40" s="1164"/>
      <c r="I40" s="1209"/>
      <c r="J40" s="1164"/>
      <c r="K40" s="1209"/>
      <c r="L40" s="1164"/>
      <c r="M40" s="1209"/>
      <c r="N40" s="1164"/>
      <c r="O40" s="1209"/>
      <c r="P40" s="1164"/>
      <c r="Q40" s="1209"/>
      <c r="R40" s="1164"/>
      <c r="S40" s="1209"/>
      <c r="T40" s="1164"/>
      <c r="U40" s="1209"/>
      <c r="V40" s="1164"/>
      <c r="W40" s="1209"/>
      <c r="X40" s="1164"/>
      <c r="Y40" s="1209">
        <v>0.73599999999999999</v>
      </c>
      <c r="Z40" s="1161"/>
      <c r="AA40" s="1162"/>
      <c r="AB40" s="1162"/>
      <c r="AC40" s="959"/>
    </row>
    <row r="41" spans="1:29" ht="28.5" customHeight="1" thickTop="1" thickBot="1" x14ac:dyDescent="0.3">
      <c r="A41" s="1652"/>
      <c r="B41" s="1163" t="s">
        <v>788</v>
      </c>
      <c r="C41" s="1161"/>
      <c r="D41" s="1164"/>
      <c r="E41" s="1209"/>
      <c r="F41" s="1164"/>
      <c r="G41" s="1209"/>
      <c r="H41" s="1164"/>
      <c r="I41" s="1209"/>
      <c r="J41" s="1164"/>
      <c r="K41" s="1209"/>
      <c r="L41" s="1164"/>
      <c r="M41" s="1209"/>
      <c r="N41" s="1164"/>
      <c r="O41" s="1209"/>
      <c r="P41" s="1164"/>
      <c r="Q41" s="1209"/>
      <c r="R41" s="1164"/>
      <c r="S41" s="1209"/>
      <c r="T41" s="1164"/>
      <c r="U41" s="1209"/>
      <c r="V41" s="1164"/>
      <c r="W41" s="1209"/>
      <c r="X41" s="1164"/>
      <c r="Y41" s="1209">
        <v>0.63900000000000001</v>
      </c>
      <c r="Z41" s="1161"/>
      <c r="AA41" s="1162"/>
      <c r="AB41" s="1162"/>
      <c r="AC41" s="959"/>
    </row>
    <row r="42" spans="1:29" ht="28.5" customHeight="1" thickTop="1" thickBot="1" x14ac:dyDescent="0.3">
      <c r="A42" s="1653"/>
      <c r="B42" s="1163" t="s">
        <v>789</v>
      </c>
      <c r="C42" s="1161"/>
      <c r="D42" s="1164"/>
      <c r="E42" s="1209"/>
      <c r="F42" s="1164"/>
      <c r="G42" s="1209"/>
      <c r="H42" s="1164"/>
      <c r="I42" s="1209"/>
      <c r="J42" s="1164"/>
      <c r="K42" s="1209"/>
      <c r="L42" s="1164"/>
      <c r="M42" s="1209"/>
      <c r="N42" s="1164"/>
      <c r="O42" s="1209"/>
      <c r="P42" s="1164"/>
      <c r="Q42" s="1209"/>
      <c r="R42" s="1164"/>
      <c r="S42" s="1209"/>
      <c r="T42" s="1164"/>
      <c r="U42" s="1209"/>
      <c r="V42" s="1164"/>
      <c r="W42" s="1209"/>
      <c r="X42" s="1164"/>
      <c r="Y42" s="1209">
        <v>0.69399999999999995</v>
      </c>
      <c r="Z42" s="1161"/>
      <c r="AA42" s="1162"/>
      <c r="AB42" s="1162"/>
      <c r="AC42" s="959"/>
    </row>
    <row r="43" spans="1:29" ht="28.5" customHeight="1" thickTop="1" thickBot="1" x14ac:dyDescent="0.3">
      <c r="A43" s="1155" t="s">
        <v>790</v>
      </c>
      <c r="B43" s="1163"/>
      <c r="C43" s="1164"/>
      <c r="D43" s="1165"/>
      <c r="E43" s="1165"/>
      <c r="F43" s="1165"/>
      <c r="G43" s="1165"/>
      <c r="H43" s="1165"/>
      <c r="I43" s="1165"/>
      <c r="J43" s="1165"/>
      <c r="K43" s="1165"/>
      <c r="L43" s="1165"/>
      <c r="M43" s="1165"/>
      <c r="N43" s="1165"/>
      <c r="O43" s="1165"/>
      <c r="P43" s="1165"/>
      <c r="Q43" s="1165"/>
      <c r="R43" s="1165"/>
      <c r="S43" s="1165"/>
      <c r="T43" s="1165"/>
      <c r="U43" s="1165"/>
      <c r="V43" s="1165"/>
      <c r="W43" s="1165"/>
      <c r="X43" s="1165"/>
      <c r="Y43" s="1453">
        <v>0.46</v>
      </c>
      <c r="Z43" s="1165"/>
      <c r="AA43" s="1166"/>
      <c r="AB43" s="1167"/>
      <c r="AC43" s="959"/>
    </row>
    <row r="44" spans="1:29" ht="21.95" customHeight="1" thickTop="1" thickBot="1" x14ac:dyDescent="0.3">
      <c r="A44" s="1576" t="s">
        <v>379</v>
      </c>
      <c r="B44" s="1621"/>
      <c r="C44" s="1536" t="s">
        <v>128</v>
      </c>
      <c r="D44" s="1532"/>
      <c r="E44" s="1528" t="s">
        <v>129</v>
      </c>
      <c r="F44" s="1529"/>
      <c r="G44" s="1528" t="s">
        <v>130</v>
      </c>
      <c r="H44" s="1529"/>
      <c r="I44" s="1528" t="s">
        <v>131</v>
      </c>
      <c r="J44" s="1529"/>
      <c r="K44" s="1528" t="s">
        <v>132</v>
      </c>
      <c r="L44" s="1529"/>
      <c r="M44" s="1528" t="s">
        <v>133</v>
      </c>
      <c r="N44" s="1529"/>
      <c r="O44" s="1528" t="s">
        <v>134</v>
      </c>
      <c r="P44" s="1529"/>
      <c r="Q44" s="1528" t="s">
        <v>135</v>
      </c>
      <c r="R44" s="1529"/>
      <c r="S44" s="1528" t="s">
        <v>136</v>
      </c>
      <c r="T44" s="1529"/>
      <c r="U44" s="1528" t="s">
        <v>137</v>
      </c>
      <c r="V44" s="1529"/>
      <c r="W44" s="1528" t="s">
        <v>138</v>
      </c>
      <c r="X44" s="1529"/>
      <c r="Y44" s="1528" t="s">
        <v>139</v>
      </c>
      <c r="Z44" s="1529"/>
      <c r="AA44" s="1532" t="s">
        <v>140</v>
      </c>
      <c r="AB44" s="1533"/>
      <c r="AC44" s="958"/>
    </row>
    <row r="45" spans="1:29" ht="21.95" customHeight="1" thickTop="1" thickBot="1" x14ac:dyDescent="0.35">
      <c r="A45" s="1577"/>
      <c r="B45" s="1622"/>
      <c r="C45" s="773" t="s">
        <v>682</v>
      </c>
      <c r="D45" s="785" t="s">
        <v>683</v>
      </c>
      <c r="E45" s="798" t="s">
        <v>682</v>
      </c>
      <c r="F45" s="785" t="s">
        <v>683</v>
      </c>
      <c r="G45" s="798" t="s">
        <v>682</v>
      </c>
      <c r="H45" s="785" t="s">
        <v>683</v>
      </c>
      <c r="I45" s="798" t="s">
        <v>682</v>
      </c>
      <c r="J45" s="785" t="s">
        <v>683</v>
      </c>
      <c r="K45" s="798" t="s">
        <v>682</v>
      </c>
      <c r="L45" s="785" t="s">
        <v>683</v>
      </c>
      <c r="M45" s="798" t="s">
        <v>682</v>
      </c>
      <c r="N45" s="785" t="s">
        <v>683</v>
      </c>
      <c r="O45" s="798" t="s">
        <v>682</v>
      </c>
      <c r="P45" s="785" t="s">
        <v>683</v>
      </c>
      <c r="Q45" s="798" t="s">
        <v>682</v>
      </c>
      <c r="R45" s="785" t="s">
        <v>683</v>
      </c>
      <c r="S45" s="798" t="s">
        <v>682</v>
      </c>
      <c r="T45" s="785" t="s">
        <v>683</v>
      </c>
      <c r="U45" s="798" t="s">
        <v>682</v>
      </c>
      <c r="V45" s="785" t="s">
        <v>683</v>
      </c>
      <c r="W45" s="798" t="s">
        <v>682</v>
      </c>
      <c r="X45" s="785" t="s">
        <v>683</v>
      </c>
      <c r="Y45" s="798" t="s">
        <v>682</v>
      </c>
      <c r="Z45" s="936" t="s">
        <v>683</v>
      </c>
      <c r="AA45" s="798" t="s">
        <v>682</v>
      </c>
      <c r="AB45" s="774" t="s">
        <v>683</v>
      </c>
      <c r="AC45" s="958"/>
    </row>
    <row r="46" spans="1:29" ht="21.95" customHeight="1" thickTop="1" thickBot="1" x14ac:dyDescent="0.3">
      <c r="A46" s="477" t="s">
        <v>64</v>
      </c>
      <c r="B46" s="1538"/>
      <c r="C46" s="1391"/>
      <c r="D46" s="1256"/>
      <c r="E46" s="1391"/>
      <c r="F46" s="1268"/>
      <c r="G46" s="995"/>
      <c r="H46" s="1268"/>
      <c r="I46" s="1257"/>
      <c r="J46" s="1268"/>
      <c r="K46" s="1258"/>
      <c r="L46" s="828"/>
      <c r="M46" s="996"/>
      <c r="N46" s="828"/>
      <c r="O46" s="826"/>
      <c r="P46" s="828"/>
      <c r="Q46" s="826"/>
      <c r="R46" s="828"/>
      <c r="S46" s="826"/>
      <c r="T46" s="828"/>
      <c r="U46" s="826"/>
      <c r="V46" s="828"/>
      <c r="W46" s="826"/>
      <c r="X46" s="828"/>
      <c r="Y46" s="826"/>
      <c r="Z46" s="828"/>
      <c r="AA46" s="475">
        <f>C46+E46+G46+I46+K46+M46+O46+Q46+S46+U46+W46+Y46</f>
        <v>0</v>
      </c>
      <c r="AB46" s="475">
        <f>D46+F46+H46+J46+L46+N46+P46+R46+T46+V46+X46+Z46</f>
        <v>0</v>
      </c>
      <c r="AC46" s="959"/>
    </row>
    <row r="47" spans="1:29" ht="21.95" customHeight="1" thickTop="1" thickBot="1" x14ac:dyDescent="0.3">
      <c r="A47" s="477" t="s">
        <v>65</v>
      </c>
      <c r="B47" s="1538"/>
      <c r="C47" s="1391"/>
      <c r="D47" s="1267"/>
      <c r="E47" s="1391"/>
      <c r="F47" s="1268"/>
      <c r="G47" s="1257"/>
      <c r="H47" s="1268"/>
      <c r="I47" s="1257"/>
      <c r="J47" s="1268"/>
      <c r="K47" s="1258"/>
      <c r="L47" s="828"/>
      <c r="M47" s="996"/>
      <c r="N47" s="828"/>
      <c r="O47" s="826"/>
      <c r="P47" s="828"/>
      <c r="Q47" s="826"/>
      <c r="R47" s="828"/>
      <c r="S47" s="826"/>
      <c r="T47" s="828"/>
      <c r="U47" s="826"/>
      <c r="V47" s="828"/>
      <c r="W47" s="826"/>
      <c r="X47" s="828"/>
      <c r="Y47" s="826"/>
      <c r="Z47" s="828"/>
      <c r="AA47" s="475">
        <f t="shared" ref="AA47:AA53" si="8">C47+E47+G47+I47+K47+M47+O47+Q47+S47+U47+W47+Y47</f>
        <v>0</v>
      </c>
      <c r="AB47" s="475">
        <f t="shared" ref="AB47:AB53" si="9">D47+F47+H47+J47+L47+N47+P47+R47+T47+V47+X47+Z47</f>
        <v>0</v>
      </c>
      <c r="AC47" s="959"/>
    </row>
    <row r="48" spans="1:29" ht="21.95" customHeight="1" thickTop="1" thickBot="1" x14ac:dyDescent="0.3">
      <c r="A48" s="477" t="s">
        <v>1014</v>
      </c>
      <c r="B48" s="1538"/>
      <c r="C48" s="1391">
        <v>2136</v>
      </c>
      <c r="D48" s="1267"/>
      <c r="E48" s="1391">
        <v>3772.81</v>
      </c>
      <c r="F48" s="1268"/>
      <c r="G48" s="1257">
        <v>3248.13</v>
      </c>
      <c r="H48" s="1268"/>
      <c r="I48" s="1257">
        <v>1575.43</v>
      </c>
      <c r="J48" s="1268"/>
      <c r="K48" s="1258">
        <v>1109.96</v>
      </c>
      <c r="L48" s="828"/>
      <c r="M48" s="996">
        <v>3288.38</v>
      </c>
      <c r="N48" s="828"/>
      <c r="O48" s="826"/>
      <c r="P48" s="828"/>
      <c r="Q48" s="826"/>
      <c r="R48" s="828"/>
      <c r="S48" s="826"/>
      <c r="T48" s="828"/>
      <c r="U48" s="826"/>
      <c r="V48" s="828"/>
      <c r="W48" s="826"/>
      <c r="X48" s="828"/>
      <c r="Y48" s="826"/>
      <c r="Z48" s="828"/>
      <c r="AA48" s="475">
        <f t="shared" si="8"/>
        <v>15130.71</v>
      </c>
      <c r="AB48" s="475">
        <f t="shared" si="9"/>
        <v>0</v>
      </c>
      <c r="AC48" s="959"/>
    </row>
    <row r="49" spans="1:31" ht="21.95" customHeight="1" thickTop="1" thickBot="1" x14ac:dyDescent="0.3">
      <c r="A49" s="477" t="s">
        <v>1013</v>
      </c>
      <c r="B49" s="1538"/>
      <c r="C49" s="1391">
        <v>0</v>
      </c>
      <c r="D49" s="1267"/>
      <c r="E49" s="1391">
        <v>0</v>
      </c>
      <c r="F49" s="1268"/>
      <c r="G49" s="1257">
        <v>0</v>
      </c>
      <c r="H49" s="1268"/>
      <c r="I49" s="1257">
        <v>0</v>
      </c>
      <c r="J49" s="1268"/>
      <c r="K49" s="1258">
        <v>0</v>
      </c>
      <c r="L49" s="1268"/>
      <c r="M49" s="1258">
        <v>0</v>
      </c>
      <c r="N49" s="1268"/>
      <c r="O49" s="1430"/>
      <c r="P49" s="1268"/>
      <c r="Q49" s="1430"/>
      <c r="R49" s="1268"/>
      <c r="S49" s="1430"/>
      <c r="T49" s="1268"/>
      <c r="U49" s="1430"/>
      <c r="V49" s="1268"/>
      <c r="W49" s="1430"/>
      <c r="X49" s="1268"/>
      <c r="Y49" s="1430"/>
      <c r="Z49" s="1268"/>
      <c r="AA49" s="475"/>
      <c r="AB49" s="475"/>
      <c r="AC49" s="959"/>
    </row>
    <row r="50" spans="1:31" ht="29.25" customHeight="1" thickTop="1" thickBot="1" x14ac:dyDescent="0.3">
      <c r="A50" s="477" t="s">
        <v>68</v>
      </c>
      <c r="B50" s="1538"/>
      <c r="C50" s="1391"/>
      <c r="D50" s="1267"/>
      <c r="E50" s="1391"/>
      <c r="F50" s="1392"/>
      <c r="G50" s="1257"/>
      <c r="H50" s="1392"/>
      <c r="I50" s="1257"/>
      <c r="J50" s="1392"/>
      <c r="K50" s="1258"/>
      <c r="L50" s="829"/>
      <c r="M50" s="996"/>
      <c r="N50" s="829"/>
      <c r="O50" s="826"/>
      <c r="P50" s="829"/>
      <c r="Q50" s="826"/>
      <c r="R50" s="829"/>
      <c r="S50" s="826"/>
      <c r="T50" s="829"/>
      <c r="U50" s="826"/>
      <c r="V50" s="829"/>
      <c r="W50" s="826"/>
      <c r="X50" s="829"/>
      <c r="Y50" s="826"/>
      <c r="Z50" s="829"/>
      <c r="AA50" s="475">
        <f t="shared" si="8"/>
        <v>0</v>
      </c>
      <c r="AB50" s="475">
        <f t="shared" si="9"/>
        <v>0</v>
      </c>
      <c r="AC50" s="959"/>
    </row>
    <row r="51" spans="1:31" ht="21.75" customHeight="1" thickTop="1" thickBot="1" x14ac:dyDescent="0.3">
      <c r="A51" s="477" t="s">
        <v>408</v>
      </c>
      <c r="B51" s="1538"/>
      <c r="C51" s="1391"/>
      <c r="D51" s="1267"/>
      <c r="E51" s="1257"/>
      <c r="F51" s="1268"/>
      <c r="G51" s="1257"/>
      <c r="H51" s="1268"/>
      <c r="I51" s="1257"/>
      <c r="J51" s="1268"/>
      <c r="K51" s="1258"/>
      <c r="L51" s="1268"/>
      <c r="M51" s="1258"/>
      <c r="N51" s="828"/>
      <c r="O51" s="826"/>
      <c r="P51" s="828"/>
      <c r="Q51" s="826"/>
      <c r="R51" s="828"/>
      <c r="S51" s="826"/>
      <c r="T51" s="828"/>
      <c r="U51" s="826"/>
      <c r="V51" s="828"/>
      <c r="W51" s="826"/>
      <c r="X51" s="828"/>
      <c r="Y51" s="826"/>
      <c r="Z51" s="828"/>
      <c r="AA51" s="475" t="e">
        <f>AVERAGE(C51,E51,G51,I51,K51,M51,O51,Q51,S51,U51,W51,Y51)</f>
        <v>#DIV/0!</v>
      </c>
      <c r="AB51" s="475" t="e">
        <f>AVERAGE(D51,F51,H51,J51,L51,N51,P51,R51,T51,V51,X51,Z51)</f>
        <v>#DIV/0!</v>
      </c>
      <c r="AC51" s="959"/>
    </row>
    <row r="52" spans="1:31" ht="21.95" customHeight="1" thickTop="1" thickBot="1" x14ac:dyDescent="0.3">
      <c r="A52" s="538" t="s">
        <v>407</v>
      </c>
      <c r="B52" s="1538"/>
      <c r="C52" s="1257"/>
      <c r="D52" s="1267"/>
      <c r="E52" s="995"/>
      <c r="F52" s="1268"/>
      <c r="G52" s="1259"/>
      <c r="H52" s="1268"/>
      <c r="I52" s="1258"/>
      <c r="J52" s="1268"/>
      <c r="K52" s="1258"/>
      <c r="L52" s="1268"/>
      <c r="M52" s="1258"/>
      <c r="N52" s="828"/>
      <c r="O52" s="826"/>
      <c r="P52" s="828"/>
      <c r="Q52" s="826"/>
      <c r="R52" s="828"/>
      <c r="S52" s="826"/>
      <c r="T52" s="828"/>
      <c r="U52" s="826"/>
      <c r="V52" s="828"/>
      <c r="W52" s="826"/>
      <c r="X52" s="828"/>
      <c r="Y52" s="826"/>
      <c r="Z52" s="828"/>
      <c r="AA52" s="475">
        <f t="shared" si="8"/>
        <v>0</v>
      </c>
      <c r="AB52" s="475">
        <f t="shared" si="9"/>
        <v>0</v>
      </c>
      <c r="AC52" s="959"/>
    </row>
    <row r="53" spans="1:31" ht="21.95" customHeight="1" thickTop="1" thickBot="1" x14ac:dyDescent="0.3">
      <c r="A53" s="538" t="s">
        <v>71</v>
      </c>
      <c r="B53" s="1538"/>
      <c r="C53" s="1257"/>
      <c r="D53" s="1267"/>
      <c r="E53" s="1257"/>
      <c r="F53" s="1268"/>
      <c r="G53" s="1257"/>
      <c r="H53" s="1268"/>
      <c r="I53" s="1258"/>
      <c r="J53" s="1268"/>
      <c r="K53" s="1258"/>
      <c r="L53" s="1268"/>
      <c r="M53" s="1258"/>
      <c r="N53" s="828"/>
      <c r="O53" s="826"/>
      <c r="P53" s="828"/>
      <c r="Q53" s="826"/>
      <c r="R53" s="828"/>
      <c r="S53" s="826"/>
      <c r="T53" s="828"/>
      <c r="U53" s="826"/>
      <c r="V53" s="828"/>
      <c r="W53" s="826"/>
      <c r="X53" s="828"/>
      <c r="Y53" s="826"/>
      <c r="Z53" s="828"/>
      <c r="AA53" s="475">
        <f t="shared" si="8"/>
        <v>0</v>
      </c>
      <c r="AB53" s="475">
        <f t="shared" si="9"/>
        <v>0</v>
      </c>
      <c r="AC53" s="959"/>
    </row>
    <row r="54" spans="1:31" ht="21.95" customHeight="1" thickTop="1" thickBot="1" x14ac:dyDescent="0.3">
      <c r="A54" s="538" t="s">
        <v>366</v>
      </c>
      <c r="B54" s="1538"/>
      <c r="C54" s="1260"/>
      <c r="D54" s="1269"/>
      <c r="E54" s="1261"/>
      <c r="F54" s="1270"/>
      <c r="G54" s="1260"/>
      <c r="H54" s="1270"/>
      <c r="I54" s="1261"/>
      <c r="J54" s="1270"/>
      <c r="K54" s="1261"/>
      <c r="L54" s="1270"/>
      <c r="M54" s="1261"/>
      <c r="N54" s="830"/>
      <c r="O54" s="827"/>
      <c r="P54" s="830"/>
      <c r="Q54" s="827"/>
      <c r="R54" s="830"/>
      <c r="S54" s="827"/>
      <c r="T54" s="830"/>
      <c r="U54" s="827"/>
      <c r="V54" s="830"/>
      <c r="W54" s="827"/>
      <c r="X54" s="830"/>
      <c r="Y54" s="827"/>
      <c r="Z54" s="830"/>
      <c r="AA54" s="475" t="e">
        <f>AVERAGE(C54,E54,G54,I54,K54,M54,O54,Q54,S54,U54,W54,Y54)</f>
        <v>#DIV/0!</v>
      </c>
      <c r="AB54" s="475" t="e">
        <f>AVERAGE(D54,F54,H54,J54,L54,N54,P54,R54,T54,V54,X54,Z54)</f>
        <v>#DIV/0!</v>
      </c>
      <c r="AC54" s="959"/>
      <c r="AD54" s="683"/>
      <c r="AE54" s="683"/>
    </row>
    <row r="55" spans="1:31" ht="21.95" customHeight="1" thickTop="1" thickBot="1" x14ac:dyDescent="0.3">
      <c r="A55" s="473" t="s">
        <v>367</v>
      </c>
      <c r="B55" s="1538"/>
      <c r="C55" s="1260"/>
      <c r="D55" s="1269"/>
      <c r="E55" s="1260"/>
      <c r="F55" s="1270"/>
      <c r="G55" s="1260"/>
      <c r="H55" s="1270"/>
      <c r="I55" s="1261"/>
      <c r="J55" s="1270"/>
      <c r="K55" s="1261"/>
      <c r="L55" s="1270"/>
      <c r="M55" s="1261"/>
      <c r="N55" s="830"/>
      <c r="O55" s="827"/>
      <c r="P55" s="830"/>
      <c r="Q55" s="827"/>
      <c r="R55" s="830"/>
      <c r="S55" s="827"/>
      <c r="T55" s="830"/>
      <c r="U55" s="827"/>
      <c r="V55" s="830"/>
      <c r="W55" s="827"/>
      <c r="X55" s="830"/>
      <c r="Y55" s="827"/>
      <c r="Z55" s="830"/>
      <c r="AA55" s="475" t="e">
        <f t="shared" ref="AA55:AA57" si="10">AVERAGE(C55,E55,G55,I55,K55,M55,O55,Q55,S55,U55,W55,Y55)</f>
        <v>#DIV/0!</v>
      </c>
      <c r="AB55" s="475" t="e">
        <f t="shared" ref="AB55:AB57" si="11">AVERAGE(D55,F55,H55,J55,L55,N55,P55,R55,T55,V55,X55,Z55)</f>
        <v>#DIV/0!</v>
      </c>
      <c r="AC55" s="959"/>
    </row>
    <row r="56" spans="1:31" ht="21.95" customHeight="1" thickTop="1" thickBot="1" x14ac:dyDescent="0.3">
      <c r="A56" s="538" t="s">
        <v>368</v>
      </c>
      <c r="B56" s="1538"/>
      <c r="C56" s="1260"/>
      <c r="D56" s="1269"/>
      <c r="E56" s="1260"/>
      <c r="F56" s="1270"/>
      <c r="G56" s="1260"/>
      <c r="H56" s="1270"/>
      <c r="I56" s="1261"/>
      <c r="J56" s="1270"/>
      <c r="K56" s="1261"/>
      <c r="L56" s="1270"/>
      <c r="M56" s="1261"/>
      <c r="N56" s="830"/>
      <c r="O56" s="827"/>
      <c r="P56" s="830"/>
      <c r="Q56" s="827"/>
      <c r="R56" s="830"/>
      <c r="S56" s="827"/>
      <c r="T56" s="830"/>
      <c r="U56" s="827"/>
      <c r="V56" s="830"/>
      <c r="W56" s="827"/>
      <c r="X56" s="830"/>
      <c r="Y56" s="827"/>
      <c r="Z56" s="830"/>
      <c r="AA56" s="475" t="e">
        <f t="shared" si="10"/>
        <v>#DIV/0!</v>
      </c>
      <c r="AB56" s="475" t="e">
        <f t="shared" si="11"/>
        <v>#DIV/0!</v>
      </c>
      <c r="AC56" s="959"/>
    </row>
    <row r="57" spans="1:31" ht="29.25" customHeight="1" thickTop="1" thickBot="1" x14ac:dyDescent="0.3">
      <c r="A57" s="477" t="s">
        <v>369</v>
      </c>
      <c r="B57" s="1539"/>
      <c r="C57" s="1257"/>
      <c r="D57" s="1393"/>
      <c r="E57" s="1257"/>
      <c r="F57" s="831"/>
      <c r="G57" s="1257"/>
      <c r="H57" s="831"/>
      <c r="I57" s="1258"/>
      <c r="J57" s="831"/>
      <c r="K57" s="1258"/>
      <c r="L57" s="1262"/>
      <c r="M57" s="1258"/>
      <c r="N57" s="831"/>
      <c r="O57" s="826"/>
      <c r="P57" s="831"/>
      <c r="Q57" s="826"/>
      <c r="R57" s="831"/>
      <c r="S57" s="826"/>
      <c r="T57" s="831"/>
      <c r="U57" s="826"/>
      <c r="V57" s="831"/>
      <c r="W57" s="826"/>
      <c r="X57" s="831"/>
      <c r="Y57" s="826"/>
      <c r="Z57" s="831"/>
      <c r="AA57" s="475" t="e">
        <f t="shared" si="10"/>
        <v>#DIV/0!</v>
      </c>
      <c r="AB57" s="475" t="e">
        <f t="shared" si="11"/>
        <v>#DIV/0!</v>
      </c>
      <c r="AC57" s="959"/>
    </row>
    <row r="58" spans="1:31" ht="21.95" customHeight="1" thickTop="1" thickBot="1" x14ac:dyDescent="0.3">
      <c r="A58" s="1576" t="s">
        <v>370</v>
      </c>
      <c r="B58" s="476"/>
      <c r="C58" s="1536" t="s">
        <v>128</v>
      </c>
      <c r="D58" s="1532"/>
      <c r="E58" s="1528" t="s">
        <v>129</v>
      </c>
      <c r="F58" s="1529"/>
      <c r="G58" s="1528" t="s">
        <v>130</v>
      </c>
      <c r="H58" s="1529"/>
      <c r="I58" s="1528" t="s">
        <v>131</v>
      </c>
      <c r="J58" s="1529"/>
      <c r="K58" s="1528" t="s">
        <v>132</v>
      </c>
      <c r="L58" s="1529"/>
      <c r="M58" s="1528" t="s">
        <v>685</v>
      </c>
      <c r="N58" s="1529"/>
      <c r="O58" s="1528" t="s">
        <v>134</v>
      </c>
      <c r="P58" s="1529"/>
      <c r="Q58" s="1528" t="s">
        <v>135</v>
      </c>
      <c r="R58" s="1529"/>
      <c r="S58" s="1528" t="s">
        <v>136</v>
      </c>
      <c r="T58" s="1529"/>
      <c r="U58" s="1528" t="s">
        <v>137</v>
      </c>
      <c r="V58" s="1529"/>
      <c r="W58" s="1528" t="s">
        <v>138</v>
      </c>
      <c r="X58" s="1529"/>
      <c r="Y58" s="1528" t="s">
        <v>139</v>
      </c>
      <c r="Z58" s="1529"/>
      <c r="AA58" s="1532" t="s">
        <v>140</v>
      </c>
      <c r="AB58" s="1533"/>
      <c r="AC58" s="958"/>
    </row>
    <row r="59" spans="1:31" ht="21.95" customHeight="1" thickTop="1" thickBot="1" x14ac:dyDescent="0.35">
      <c r="A59" s="1577"/>
      <c r="B59" s="478"/>
      <c r="C59" s="773" t="s">
        <v>682</v>
      </c>
      <c r="D59" s="785" t="s">
        <v>683</v>
      </c>
      <c r="E59" s="832" t="s">
        <v>682</v>
      </c>
      <c r="F59" s="833" t="s">
        <v>683</v>
      </c>
      <c r="G59" s="832" t="s">
        <v>682</v>
      </c>
      <c r="H59" s="833" t="s">
        <v>683</v>
      </c>
      <c r="I59" s="832" t="s">
        <v>682</v>
      </c>
      <c r="J59" s="833" t="s">
        <v>683</v>
      </c>
      <c r="K59" s="832" t="s">
        <v>682</v>
      </c>
      <c r="L59" s="833" t="s">
        <v>683</v>
      </c>
      <c r="M59" s="832" t="s">
        <v>682</v>
      </c>
      <c r="N59" s="833" t="s">
        <v>683</v>
      </c>
      <c r="O59" s="832" t="s">
        <v>682</v>
      </c>
      <c r="P59" s="833" t="s">
        <v>683</v>
      </c>
      <c r="Q59" s="832" t="s">
        <v>682</v>
      </c>
      <c r="R59" s="833" t="s">
        <v>683</v>
      </c>
      <c r="S59" s="832" t="s">
        <v>682</v>
      </c>
      <c r="T59" s="833" t="s">
        <v>683</v>
      </c>
      <c r="U59" s="832" t="s">
        <v>682</v>
      </c>
      <c r="V59" s="833" t="s">
        <v>683</v>
      </c>
      <c r="W59" s="832" t="s">
        <v>682</v>
      </c>
      <c r="X59" s="833" t="s">
        <v>683</v>
      </c>
      <c r="Y59" s="832" t="s">
        <v>682</v>
      </c>
      <c r="Z59" s="833" t="s">
        <v>683</v>
      </c>
      <c r="AA59" s="798" t="s">
        <v>682</v>
      </c>
      <c r="AB59" s="774" t="s">
        <v>683</v>
      </c>
      <c r="AC59" s="958"/>
    </row>
    <row r="60" spans="1:31" ht="30" customHeight="1" thickTop="1" thickBot="1" x14ac:dyDescent="0.3">
      <c r="A60" s="538" t="s">
        <v>380</v>
      </c>
      <c r="B60" s="478"/>
      <c r="C60" s="1394"/>
      <c r="D60" s="1250"/>
      <c r="E60" s="1251"/>
      <c r="F60" s="1252"/>
      <c r="G60" s="1394"/>
      <c r="H60" s="1252"/>
      <c r="I60" s="1394"/>
      <c r="J60" s="1252"/>
      <c r="K60" s="1394"/>
      <c r="L60" s="1252"/>
      <c r="M60" s="1249"/>
      <c r="N60" s="838"/>
      <c r="O60" s="834"/>
      <c r="P60" s="838"/>
      <c r="Q60" s="834"/>
      <c r="R60" s="838"/>
      <c r="S60" s="834"/>
      <c r="T60" s="838"/>
      <c r="U60" s="834"/>
      <c r="V60" s="838"/>
      <c r="W60" s="834"/>
      <c r="X60" s="838"/>
      <c r="Y60" s="834"/>
      <c r="Z60" s="838"/>
      <c r="AA60" s="475">
        <f t="shared" ref="AA60:AA64" si="12">C60+E60+G60+I60+K60+M60+O60+Q60+S60+U60+W60+Y60</f>
        <v>0</v>
      </c>
      <c r="AB60" s="474">
        <f>SUM(D60:Z60)</f>
        <v>0</v>
      </c>
      <c r="AC60" s="959"/>
    </row>
    <row r="61" spans="1:31" ht="21.95" customHeight="1" thickTop="1" thickBot="1" x14ac:dyDescent="0.3">
      <c r="A61" s="538" t="s">
        <v>371</v>
      </c>
      <c r="B61" s="478"/>
      <c r="C61" s="1395"/>
      <c r="D61" s="1396"/>
      <c r="E61" s="1397"/>
      <c r="F61" s="1398"/>
      <c r="G61" s="1399"/>
      <c r="H61" s="1398"/>
      <c r="I61" s="1399"/>
      <c r="J61" s="1398"/>
      <c r="K61" s="1399"/>
      <c r="L61" s="1400"/>
      <c r="M61" s="1058"/>
      <c r="N61" s="1059"/>
      <c r="O61" s="1060"/>
      <c r="P61" s="1059"/>
      <c r="Q61" s="1060"/>
      <c r="R61" s="1059"/>
      <c r="S61" s="1060"/>
      <c r="T61" s="1059"/>
      <c r="U61" s="1060"/>
      <c r="V61" s="1059"/>
      <c r="W61" s="1060"/>
      <c r="X61" s="1059"/>
      <c r="Y61" s="1060"/>
      <c r="Z61" s="1059"/>
      <c r="AA61" s="1061" t="e">
        <f t="shared" ref="AA61:AB63" si="13">AVERAGE(C61,E61,G61,I61,K61,M61,O61,Q61,S61,U61,W61,Y61)</f>
        <v>#DIV/0!</v>
      </c>
      <c r="AB61" s="1061" t="e">
        <f t="shared" si="13"/>
        <v>#DIV/0!</v>
      </c>
      <c r="AC61" s="959"/>
    </row>
    <row r="62" spans="1:31" ht="21.95" customHeight="1" thickTop="1" thickBot="1" x14ac:dyDescent="0.3">
      <c r="A62" s="538" t="s">
        <v>372</v>
      </c>
      <c r="B62" s="478"/>
      <c r="C62" s="1401"/>
      <c r="D62" s="1402"/>
      <c r="E62" s="1403"/>
      <c r="F62" s="1404"/>
      <c r="G62" s="1401"/>
      <c r="H62" s="1404"/>
      <c r="I62" s="1401"/>
      <c r="J62" s="1404"/>
      <c r="K62" s="1401"/>
      <c r="L62" s="1405"/>
      <c r="M62" s="1150"/>
      <c r="N62" s="839"/>
      <c r="O62" s="835"/>
      <c r="P62" s="839"/>
      <c r="Q62" s="835"/>
      <c r="R62" s="839"/>
      <c r="S62" s="835"/>
      <c r="T62" s="839"/>
      <c r="U62" s="835"/>
      <c r="V62" s="839"/>
      <c r="W62" s="835"/>
      <c r="X62" s="839"/>
      <c r="Y62" s="835"/>
      <c r="Z62" s="839"/>
      <c r="AA62" s="475">
        <f t="shared" si="12"/>
        <v>0</v>
      </c>
      <c r="AB62" s="474">
        <f>SUM(D62:Z62)</f>
        <v>0</v>
      </c>
      <c r="AC62" s="959"/>
    </row>
    <row r="63" spans="1:31" ht="21.95" customHeight="1" thickTop="1" thickBot="1" x14ac:dyDescent="0.3">
      <c r="A63" s="538" t="s">
        <v>373</v>
      </c>
      <c r="B63" s="478"/>
      <c r="C63" s="1056"/>
      <c r="D63" s="1406"/>
      <c r="E63" s="1208"/>
      <c r="F63" s="1407"/>
      <c r="G63" s="1057"/>
      <c r="H63" s="1407"/>
      <c r="I63" s="1057"/>
      <c r="J63" s="1407"/>
      <c r="K63" s="1057"/>
      <c r="L63" s="1407"/>
      <c r="M63" s="1057"/>
      <c r="N63" s="840"/>
      <c r="O63" s="836"/>
      <c r="P63" s="840"/>
      <c r="Q63" s="836"/>
      <c r="R63" s="840"/>
      <c r="S63" s="836"/>
      <c r="T63" s="840"/>
      <c r="U63" s="836"/>
      <c r="V63" s="840"/>
      <c r="W63" s="836"/>
      <c r="X63" s="840"/>
      <c r="Y63" s="836"/>
      <c r="Z63" s="840"/>
      <c r="AA63" s="475" t="e">
        <f t="shared" si="13"/>
        <v>#DIV/0!</v>
      </c>
      <c r="AB63" s="475" t="e">
        <f t="shared" si="13"/>
        <v>#DIV/0!</v>
      </c>
      <c r="AC63" s="959"/>
    </row>
    <row r="64" spans="1:31" ht="21.95" customHeight="1" thickTop="1" thickBot="1" x14ac:dyDescent="0.3">
      <c r="A64" s="473" t="s">
        <v>374</v>
      </c>
      <c r="B64" s="479"/>
      <c r="C64" s="1408"/>
      <c r="D64" s="1253"/>
      <c r="E64" s="1409"/>
      <c r="F64" s="1254"/>
      <c r="G64" s="1410"/>
      <c r="H64" s="1254"/>
      <c r="I64" s="1255"/>
      <c r="J64" s="1254"/>
      <c r="K64" s="1255"/>
      <c r="L64" s="1254"/>
      <c r="M64" s="1255"/>
      <c r="N64" s="841"/>
      <c r="O64" s="837"/>
      <c r="P64" s="841"/>
      <c r="Q64" s="837"/>
      <c r="R64" s="841"/>
      <c r="S64" s="837"/>
      <c r="T64" s="841"/>
      <c r="U64" s="837"/>
      <c r="V64" s="841"/>
      <c r="W64" s="837"/>
      <c r="X64" s="841"/>
      <c r="Y64" s="837"/>
      <c r="Z64" s="841"/>
      <c r="AA64" s="475">
        <f t="shared" si="12"/>
        <v>0</v>
      </c>
      <c r="AB64" s="685">
        <f>SUM(D64:Z64)</f>
        <v>0</v>
      </c>
      <c r="AC64" s="960"/>
    </row>
    <row r="65" spans="1:29" ht="21.95" customHeight="1" thickTop="1" thickBot="1" x14ac:dyDescent="0.3">
      <c r="A65" s="1576" t="s">
        <v>395</v>
      </c>
      <c r="B65" s="476"/>
      <c r="C65" s="1536" t="s">
        <v>128</v>
      </c>
      <c r="D65" s="1532"/>
      <c r="E65" s="1528" t="s">
        <v>129</v>
      </c>
      <c r="F65" s="1529"/>
      <c r="G65" s="1528" t="s">
        <v>130</v>
      </c>
      <c r="H65" s="1529"/>
      <c r="I65" s="1528" t="s">
        <v>131</v>
      </c>
      <c r="J65" s="1529"/>
      <c r="K65" s="1528" t="s">
        <v>132</v>
      </c>
      <c r="L65" s="1529"/>
      <c r="M65" s="1528" t="s">
        <v>133</v>
      </c>
      <c r="N65" s="1529"/>
      <c r="O65" s="1528" t="s">
        <v>134</v>
      </c>
      <c r="P65" s="1529"/>
      <c r="Q65" s="1528" t="s">
        <v>135</v>
      </c>
      <c r="R65" s="1529"/>
      <c r="S65" s="1528" t="s">
        <v>136</v>
      </c>
      <c r="T65" s="1529"/>
      <c r="U65" s="1528" t="s">
        <v>137</v>
      </c>
      <c r="V65" s="1529"/>
      <c r="W65" s="1528" t="s">
        <v>138</v>
      </c>
      <c r="X65" s="1529"/>
      <c r="Y65" s="1528" t="s">
        <v>139</v>
      </c>
      <c r="Z65" s="1529"/>
      <c r="AA65" s="1532" t="s">
        <v>140</v>
      </c>
      <c r="AB65" s="1533"/>
      <c r="AC65" s="958"/>
    </row>
    <row r="66" spans="1:29" ht="21.95" customHeight="1" thickTop="1" thickBot="1" x14ac:dyDescent="0.35">
      <c r="A66" s="1577"/>
      <c r="B66" s="775"/>
      <c r="C66" s="773" t="s">
        <v>682</v>
      </c>
      <c r="D66" s="785" t="s">
        <v>683</v>
      </c>
      <c r="E66" s="832" t="s">
        <v>682</v>
      </c>
      <c r="F66" s="833" t="s">
        <v>683</v>
      </c>
      <c r="G66" s="832" t="s">
        <v>682</v>
      </c>
      <c r="H66" s="833" t="s">
        <v>683</v>
      </c>
      <c r="I66" s="832" t="s">
        <v>682</v>
      </c>
      <c r="J66" s="833" t="s">
        <v>683</v>
      </c>
      <c r="K66" s="832" t="s">
        <v>682</v>
      </c>
      <c r="L66" s="833" t="s">
        <v>683</v>
      </c>
      <c r="M66" s="832" t="s">
        <v>682</v>
      </c>
      <c r="N66" s="833" t="s">
        <v>683</v>
      </c>
      <c r="O66" s="832" t="s">
        <v>682</v>
      </c>
      <c r="P66" s="833" t="s">
        <v>683</v>
      </c>
      <c r="Q66" s="832" t="s">
        <v>682</v>
      </c>
      <c r="R66" s="833" t="s">
        <v>683</v>
      </c>
      <c r="S66" s="832" t="s">
        <v>682</v>
      </c>
      <c r="T66" s="833" t="s">
        <v>683</v>
      </c>
      <c r="U66" s="832" t="s">
        <v>682</v>
      </c>
      <c r="V66" s="833" t="s">
        <v>683</v>
      </c>
      <c r="W66" s="832" t="s">
        <v>682</v>
      </c>
      <c r="X66" s="833" t="s">
        <v>683</v>
      </c>
      <c r="Y66" s="832" t="s">
        <v>682</v>
      </c>
      <c r="Z66" s="833" t="s">
        <v>683</v>
      </c>
      <c r="AA66" s="798" t="s">
        <v>682</v>
      </c>
      <c r="AB66" s="774" t="s">
        <v>683</v>
      </c>
      <c r="AC66" s="958"/>
    </row>
    <row r="67" spans="1:29" ht="21.95" customHeight="1" thickTop="1" thickBot="1" x14ac:dyDescent="0.3">
      <c r="A67" s="538" t="s">
        <v>51</v>
      </c>
      <c r="B67" s="682" t="s">
        <v>663</v>
      </c>
      <c r="C67" s="1379"/>
      <c r="D67" s="1380"/>
      <c r="E67" s="1381"/>
      <c r="F67" s="1242"/>
      <c r="G67" s="1381"/>
      <c r="H67" s="1242"/>
      <c r="I67" s="1381"/>
      <c r="J67" s="1242"/>
      <c r="K67" s="1381"/>
      <c r="L67" s="1242"/>
      <c r="M67" s="1241"/>
      <c r="N67" s="1242"/>
      <c r="O67" s="1053"/>
      <c r="P67" s="843"/>
      <c r="Q67" s="1053"/>
      <c r="R67" s="843"/>
      <c r="S67" s="1053"/>
      <c r="T67" s="843"/>
      <c r="U67" s="1053"/>
      <c r="V67" s="843"/>
      <c r="W67" s="1053"/>
      <c r="X67" s="843"/>
      <c r="Y67" s="1053"/>
      <c r="Z67" s="843"/>
      <c r="AA67" s="474"/>
      <c r="AB67" s="474"/>
      <c r="AC67" s="959"/>
    </row>
    <row r="68" spans="1:29" ht="21.95" customHeight="1" thickTop="1" thickBot="1" x14ac:dyDescent="0.3">
      <c r="A68" s="538" t="s">
        <v>394</v>
      </c>
      <c r="B68" s="682" t="s">
        <v>663</v>
      </c>
      <c r="C68" s="1379"/>
      <c r="D68" s="1380"/>
      <c r="E68" s="1381"/>
      <c r="F68" s="1382"/>
      <c r="G68" s="1381"/>
      <c r="H68" s="1382"/>
      <c r="I68" s="1381"/>
      <c r="J68" s="1382"/>
      <c r="K68" s="1381"/>
      <c r="L68" s="1243"/>
      <c r="M68" s="1241"/>
      <c r="N68" s="1243"/>
      <c r="O68" s="1053"/>
      <c r="P68" s="844"/>
      <c r="Q68" s="1053"/>
      <c r="R68" s="844"/>
      <c r="S68" s="1053"/>
      <c r="T68" s="844"/>
      <c r="U68" s="1053"/>
      <c r="V68" s="844"/>
      <c r="W68" s="1053"/>
      <c r="X68" s="844"/>
      <c r="Y68" s="1053"/>
      <c r="Z68" s="844"/>
      <c r="AA68" s="474"/>
      <c r="AB68" s="474"/>
      <c r="AC68" s="959"/>
    </row>
    <row r="69" spans="1:29" ht="21.95" customHeight="1" thickTop="1" thickBot="1" x14ac:dyDescent="0.3">
      <c r="A69" s="538" t="s">
        <v>48</v>
      </c>
      <c r="B69" s="682" t="s">
        <v>249</v>
      </c>
      <c r="C69" s="1383"/>
      <c r="D69" s="1384"/>
      <c r="E69" s="1385"/>
      <c r="F69" s="1386"/>
      <c r="G69" s="1385"/>
      <c r="H69" s="1386"/>
      <c r="I69" s="1385"/>
      <c r="J69" s="1386"/>
      <c r="K69" s="1385"/>
      <c r="L69" s="1245"/>
      <c r="M69" s="1244"/>
      <c r="N69" s="1245"/>
      <c r="O69" s="842"/>
      <c r="P69" s="845"/>
      <c r="Q69" s="842"/>
      <c r="R69" s="845"/>
      <c r="S69" s="842"/>
      <c r="T69" s="845"/>
      <c r="U69" s="842"/>
      <c r="V69" s="845"/>
      <c r="W69" s="842"/>
      <c r="X69" s="845"/>
      <c r="Y69" s="842">
        <v>9.1899999999999996E-2</v>
      </c>
      <c r="Z69" s="845"/>
      <c r="AA69" s="474"/>
      <c r="AB69" s="474"/>
      <c r="AC69" s="959"/>
    </row>
    <row r="70" spans="1:29" ht="21.95" customHeight="1" thickTop="1" thickBot="1" x14ac:dyDescent="0.3">
      <c r="A70" s="538" t="s">
        <v>396</v>
      </c>
      <c r="B70" s="1154" t="s">
        <v>249</v>
      </c>
      <c r="C70" s="1383"/>
      <c r="D70" s="1384"/>
      <c r="E70" s="1385"/>
      <c r="F70" s="1386"/>
      <c r="G70" s="1385"/>
      <c r="H70" s="1386"/>
      <c r="I70" s="1385"/>
      <c r="J70" s="1386"/>
      <c r="K70" s="1385"/>
      <c r="L70" s="1245"/>
      <c r="M70" s="1244"/>
      <c r="N70" s="1245"/>
      <c r="O70" s="842"/>
      <c r="P70" s="845"/>
      <c r="Q70" s="842"/>
      <c r="R70" s="845"/>
      <c r="S70" s="842"/>
      <c r="T70" s="845"/>
      <c r="U70" s="842"/>
      <c r="V70" s="845"/>
      <c r="W70" s="842"/>
      <c r="X70" s="845"/>
      <c r="Y70" s="842">
        <v>0</v>
      </c>
      <c r="Z70" s="845"/>
      <c r="AA70" s="474"/>
      <c r="AB70" s="474"/>
      <c r="AC70" s="959"/>
    </row>
    <row r="71" spans="1:29" ht="21.95" customHeight="1" thickTop="1" thickBot="1" x14ac:dyDescent="0.3">
      <c r="A71" s="538" t="s">
        <v>1107</v>
      </c>
      <c r="B71" s="1154" t="s">
        <v>663</v>
      </c>
      <c r="C71" s="1387"/>
      <c r="D71" s="1388"/>
      <c r="E71" s="1389"/>
      <c r="F71" s="1390"/>
      <c r="G71" s="1389"/>
      <c r="H71" s="1390"/>
      <c r="I71" s="1389"/>
      <c r="J71" s="1390"/>
      <c r="K71" s="1389"/>
      <c r="L71" s="1247"/>
      <c r="M71" s="1246"/>
      <c r="N71" s="1247"/>
      <c r="O71" s="1168"/>
      <c r="P71" s="1169"/>
      <c r="Q71" s="1168"/>
      <c r="R71" s="1169"/>
      <c r="S71" s="1168"/>
      <c r="T71" s="1169"/>
      <c r="U71" s="1168"/>
      <c r="V71" s="1169"/>
      <c r="W71" s="1168"/>
      <c r="X71" s="1169"/>
      <c r="Y71" s="1168"/>
      <c r="Z71" s="1169"/>
      <c r="AA71" s="474"/>
      <c r="AB71" s="474"/>
      <c r="AC71" s="959"/>
    </row>
    <row r="72" spans="1:29" ht="21.95" customHeight="1" thickTop="1" thickBot="1" x14ac:dyDescent="0.3">
      <c r="A72" s="538" t="s">
        <v>782</v>
      </c>
      <c r="B72" s="1154" t="s">
        <v>249</v>
      </c>
      <c r="C72" s="1387"/>
      <c r="D72" s="1388"/>
      <c r="E72" s="1389"/>
      <c r="F72" s="1390"/>
      <c r="G72" s="1389"/>
      <c r="H72" s="1390"/>
      <c r="I72" s="1389"/>
      <c r="J72" s="1390"/>
      <c r="K72" s="1389"/>
      <c r="L72" s="1247"/>
      <c r="M72" s="1246"/>
      <c r="N72" s="1247"/>
      <c r="O72" s="1168"/>
      <c r="P72" s="1169"/>
      <c r="Q72" s="1168"/>
      <c r="R72" s="1169"/>
      <c r="S72" s="1168"/>
      <c r="T72" s="1169"/>
      <c r="U72" s="1168"/>
      <c r="V72" s="1169"/>
      <c r="W72" s="1168"/>
      <c r="X72" s="1169"/>
      <c r="Y72" s="1449">
        <v>0.67500000000000004</v>
      </c>
      <c r="Z72" s="1169"/>
      <c r="AA72" s="474"/>
      <c r="AB72" s="474"/>
      <c r="AC72" s="959"/>
    </row>
    <row r="73" spans="1:29" ht="21.95" customHeight="1" thickTop="1" thickBot="1" x14ac:dyDescent="0.3">
      <c r="A73" s="538" t="s">
        <v>783</v>
      </c>
      <c r="B73" s="1154" t="s">
        <v>249</v>
      </c>
      <c r="C73" s="1387"/>
      <c r="D73" s="1388"/>
      <c r="E73" s="1389"/>
      <c r="F73" s="1390"/>
      <c r="G73" s="1389"/>
      <c r="H73" s="1390"/>
      <c r="I73" s="1389"/>
      <c r="J73" s="1390"/>
      <c r="K73" s="1389"/>
      <c r="L73" s="1247"/>
      <c r="M73" s="1246"/>
      <c r="N73" s="1247"/>
      <c r="O73" s="1168"/>
      <c r="P73" s="1169"/>
      <c r="Q73" s="1168"/>
      <c r="R73" s="1169"/>
      <c r="S73" s="1168"/>
      <c r="T73" s="1169"/>
      <c r="U73" s="1168"/>
      <c r="V73" s="1169"/>
      <c r="W73" s="1168"/>
      <c r="X73" s="1169"/>
      <c r="Y73" s="1449">
        <v>0.215</v>
      </c>
      <c r="Z73" s="1169"/>
      <c r="AA73" s="474"/>
      <c r="AB73" s="474"/>
      <c r="AC73" s="959"/>
    </row>
    <row r="74" spans="1:29" ht="21.95" customHeight="1" thickTop="1" x14ac:dyDescent="0.25">
      <c r="E74" s="896"/>
      <c r="G74" s="896"/>
      <c r="I74" s="896"/>
      <c r="K74" s="896"/>
      <c r="M74" s="896"/>
      <c r="O74" s="896"/>
      <c r="Q74" s="896"/>
      <c r="S74" s="896"/>
      <c r="U74" s="896"/>
      <c r="W74" s="896"/>
      <c r="Y74" s="896"/>
      <c r="AC74" s="961"/>
    </row>
    <row r="75" spans="1:29" ht="21.95" customHeight="1" thickBot="1" x14ac:dyDescent="0.3">
      <c r="E75" s="434"/>
      <c r="G75" s="434"/>
      <c r="I75" s="434"/>
      <c r="K75" s="434"/>
      <c r="M75" s="434"/>
      <c r="O75" s="434"/>
      <c r="Q75" s="434"/>
      <c r="S75" s="434"/>
      <c r="U75" s="434"/>
      <c r="W75" s="434"/>
      <c r="Y75" s="434"/>
      <c r="AC75" s="961"/>
    </row>
    <row r="76" spans="1:29" ht="21.95" customHeight="1" thickTop="1" thickBot="1" x14ac:dyDescent="0.3">
      <c r="A76" s="1578" t="s">
        <v>147</v>
      </c>
      <c r="B76" s="1579"/>
      <c r="E76" s="897"/>
      <c r="G76" s="897"/>
      <c r="I76" s="897"/>
      <c r="K76" s="897"/>
      <c r="M76" s="897"/>
      <c r="O76" s="897"/>
      <c r="Q76" s="897"/>
      <c r="S76" s="897"/>
      <c r="U76" s="897"/>
      <c r="W76" s="897"/>
      <c r="Y76" s="897"/>
      <c r="AC76" s="961"/>
    </row>
    <row r="77" spans="1:29" ht="21.95" customHeight="1" thickTop="1" thickBot="1" x14ac:dyDescent="0.3">
      <c r="A77" s="1580"/>
      <c r="B77" s="1581"/>
      <c r="C77" s="1575" t="s">
        <v>128</v>
      </c>
      <c r="D77" s="1527"/>
      <c r="E77" s="1526" t="s">
        <v>129</v>
      </c>
      <c r="F77" s="1527"/>
      <c r="G77" s="1526" t="s">
        <v>130</v>
      </c>
      <c r="H77" s="1527"/>
      <c r="I77" s="1526" t="s">
        <v>131</v>
      </c>
      <c r="J77" s="1527"/>
      <c r="K77" s="1526" t="s">
        <v>132</v>
      </c>
      <c r="L77" s="1527"/>
      <c r="M77" s="1526" t="s">
        <v>133</v>
      </c>
      <c r="N77" s="1527"/>
      <c r="O77" s="1526" t="s">
        <v>134</v>
      </c>
      <c r="P77" s="1527"/>
      <c r="Q77" s="1526" t="s">
        <v>135</v>
      </c>
      <c r="R77" s="1527"/>
      <c r="S77" s="1526" t="s">
        <v>136</v>
      </c>
      <c r="T77" s="1527"/>
      <c r="U77" s="1526" t="s">
        <v>137</v>
      </c>
      <c r="V77" s="1527"/>
      <c r="W77" s="1526" t="s">
        <v>138</v>
      </c>
      <c r="X77" s="1527"/>
      <c r="Y77" s="1526" t="s">
        <v>139</v>
      </c>
      <c r="Z77" s="1527"/>
      <c r="AA77" s="1532" t="s">
        <v>140</v>
      </c>
      <c r="AB77" s="1533"/>
      <c r="AC77" s="958"/>
    </row>
    <row r="78" spans="1:29" ht="21.95" customHeight="1" thickTop="1" thickBot="1" x14ac:dyDescent="0.35">
      <c r="A78" s="1582"/>
      <c r="B78" s="1583"/>
      <c r="C78" s="773" t="s">
        <v>682</v>
      </c>
      <c r="D78" s="785" t="s">
        <v>683</v>
      </c>
      <c r="E78" s="832" t="s">
        <v>682</v>
      </c>
      <c r="F78" s="833" t="s">
        <v>683</v>
      </c>
      <c r="G78" s="832" t="s">
        <v>682</v>
      </c>
      <c r="H78" s="833" t="s">
        <v>683</v>
      </c>
      <c r="I78" s="832" t="s">
        <v>682</v>
      </c>
      <c r="J78" s="833" t="s">
        <v>683</v>
      </c>
      <c r="K78" s="832" t="s">
        <v>682</v>
      </c>
      <c r="L78" s="833" t="s">
        <v>683</v>
      </c>
      <c r="M78" s="832" t="s">
        <v>682</v>
      </c>
      <c r="N78" s="833" t="s">
        <v>683</v>
      </c>
      <c r="O78" s="832" t="s">
        <v>682</v>
      </c>
      <c r="P78" s="833" t="s">
        <v>683</v>
      </c>
      <c r="Q78" s="832" t="s">
        <v>682</v>
      </c>
      <c r="R78" s="833" t="s">
        <v>683</v>
      </c>
      <c r="S78" s="832" t="s">
        <v>682</v>
      </c>
      <c r="T78" s="833" t="s">
        <v>683</v>
      </c>
      <c r="U78" s="832" t="s">
        <v>682</v>
      </c>
      <c r="V78" s="833" t="s">
        <v>683</v>
      </c>
      <c r="W78" s="832" t="s">
        <v>682</v>
      </c>
      <c r="X78" s="833" t="s">
        <v>683</v>
      </c>
      <c r="Y78" s="832" t="s">
        <v>682</v>
      </c>
      <c r="Z78" s="833" t="s">
        <v>683</v>
      </c>
      <c r="AA78" s="798" t="s">
        <v>682</v>
      </c>
      <c r="AB78" s="774" t="s">
        <v>683</v>
      </c>
      <c r="AC78" s="958"/>
    </row>
    <row r="79" spans="1:29" ht="26.25" customHeight="1" thickTop="1" thickBot="1" x14ac:dyDescent="0.35">
      <c r="A79" s="1530" t="s">
        <v>847</v>
      </c>
      <c r="B79" s="1531"/>
      <c r="C79" s="403">
        <v>0</v>
      </c>
      <c r="D79" s="786">
        <v>0</v>
      </c>
      <c r="E79" s="846">
        <v>0</v>
      </c>
      <c r="F79" s="786">
        <v>0</v>
      </c>
      <c r="G79" s="846">
        <v>0</v>
      </c>
      <c r="H79" s="786">
        <v>0</v>
      </c>
      <c r="I79" s="846">
        <v>0</v>
      </c>
      <c r="J79" s="786">
        <v>0</v>
      </c>
      <c r="K79" s="846">
        <v>0</v>
      </c>
      <c r="L79" s="786">
        <v>0</v>
      </c>
      <c r="M79" s="846">
        <v>0</v>
      </c>
      <c r="N79" s="786">
        <v>0</v>
      </c>
      <c r="O79" s="846">
        <v>0</v>
      </c>
      <c r="P79" s="850">
        <v>0</v>
      </c>
      <c r="Q79" s="846">
        <v>0</v>
      </c>
      <c r="R79" s="850">
        <v>0</v>
      </c>
      <c r="S79" s="846">
        <v>0</v>
      </c>
      <c r="T79" s="850">
        <v>0</v>
      </c>
      <c r="U79" s="846">
        <v>0</v>
      </c>
      <c r="V79" s="850">
        <v>0</v>
      </c>
      <c r="W79" s="846">
        <v>0</v>
      </c>
      <c r="X79" s="850">
        <v>0</v>
      </c>
      <c r="Y79" s="846">
        <v>0</v>
      </c>
      <c r="Z79" s="850">
        <v>0</v>
      </c>
      <c r="AA79" s="404">
        <f>C79+E79+G79+I79+K79+M79+O79+Q79+S79+U79+W79+Y79</f>
        <v>0</v>
      </c>
      <c r="AB79" s="404">
        <f>D79+F79+H79+J79+L79+N79+P79+R79+T79+V79+X79+Z79</f>
        <v>0</v>
      </c>
      <c r="AC79" s="959"/>
    </row>
    <row r="80" spans="1:29" ht="21.95" customHeight="1" thickTop="1" thickBot="1" x14ac:dyDescent="0.35">
      <c r="A80" s="1530" t="s">
        <v>848</v>
      </c>
      <c r="B80" s="1531"/>
      <c r="C80" s="407">
        <v>0</v>
      </c>
      <c r="D80" s="787">
        <v>0</v>
      </c>
      <c r="E80" s="847">
        <v>0</v>
      </c>
      <c r="F80" s="787">
        <v>0</v>
      </c>
      <c r="G80" s="847">
        <v>0</v>
      </c>
      <c r="H80" s="787">
        <v>0</v>
      </c>
      <c r="I80" s="847">
        <v>0</v>
      </c>
      <c r="J80" s="787">
        <v>0</v>
      </c>
      <c r="K80" s="847">
        <v>0</v>
      </c>
      <c r="L80" s="787">
        <v>0</v>
      </c>
      <c r="M80" s="847">
        <v>0</v>
      </c>
      <c r="N80" s="787">
        <v>0</v>
      </c>
      <c r="O80" s="847">
        <v>0</v>
      </c>
      <c r="P80" s="851">
        <v>0</v>
      </c>
      <c r="Q80" s="847">
        <v>0</v>
      </c>
      <c r="R80" s="851">
        <v>0</v>
      </c>
      <c r="S80" s="847">
        <v>0</v>
      </c>
      <c r="T80" s="851">
        <v>0</v>
      </c>
      <c r="U80" s="847">
        <v>0</v>
      </c>
      <c r="V80" s="851">
        <v>0</v>
      </c>
      <c r="W80" s="847">
        <v>0</v>
      </c>
      <c r="X80" s="851">
        <v>0</v>
      </c>
      <c r="Y80" s="847">
        <v>0</v>
      </c>
      <c r="Z80" s="851">
        <v>0</v>
      </c>
      <c r="AA80" s="404">
        <f t="shared" ref="AA80:AA153" si="14">C80+E80+G80+I80+K80+M80+O80+Q80+S80+U80+W80+Y80</f>
        <v>0</v>
      </c>
      <c r="AB80" s="404">
        <f t="shared" ref="AB80:AB153" si="15">D80+F80+H80+J80+L80+N80+P80+R80+T80+V80+X80+Z80</f>
        <v>0</v>
      </c>
      <c r="AC80" s="959"/>
    </row>
    <row r="81" spans="1:29" ht="21.95" customHeight="1" thickTop="1" thickBot="1" x14ac:dyDescent="0.35">
      <c r="A81" s="1530" t="s">
        <v>894</v>
      </c>
      <c r="B81" s="1531"/>
      <c r="C81" s="405">
        <v>202800.24</v>
      </c>
      <c r="D81" s="777">
        <v>0</v>
      </c>
      <c r="E81" s="811">
        <v>179570.22</v>
      </c>
      <c r="F81" s="777">
        <v>0</v>
      </c>
      <c r="G81" s="811">
        <v>172276.41</v>
      </c>
      <c r="H81" s="777">
        <v>0</v>
      </c>
      <c r="I81" s="811">
        <v>178407.63</v>
      </c>
      <c r="J81" s="777">
        <v>0</v>
      </c>
      <c r="K81" s="811">
        <v>192445.89</v>
      </c>
      <c r="L81" s="777">
        <v>0</v>
      </c>
      <c r="M81" s="811">
        <v>255760.11</v>
      </c>
      <c r="N81" s="777">
        <v>0</v>
      </c>
      <c r="O81" s="811">
        <v>275842.51</v>
      </c>
      <c r="P81" s="803">
        <v>0</v>
      </c>
      <c r="Q81" s="811">
        <v>55028.38</v>
      </c>
      <c r="R81" s="803">
        <v>0</v>
      </c>
      <c r="S81" s="811">
        <v>225754.9</v>
      </c>
      <c r="T81" s="803">
        <v>0</v>
      </c>
      <c r="U81" s="811">
        <v>222328.63</v>
      </c>
      <c r="V81" s="803">
        <v>0</v>
      </c>
      <c r="W81" s="811">
        <v>202743.36</v>
      </c>
      <c r="X81" s="803">
        <v>0</v>
      </c>
      <c r="Y81" s="811">
        <v>129278.45</v>
      </c>
      <c r="Z81" s="803">
        <v>0</v>
      </c>
      <c r="AA81" s="404">
        <f t="shared" si="14"/>
        <v>2292236.73</v>
      </c>
      <c r="AB81" s="404">
        <f t="shared" si="15"/>
        <v>0</v>
      </c>
      <c r="AC81" s="959"/>
    </row>
    <row r="82" spans="1:29" ht="21.95" customHeight="1" thickTop="1" thickBot="1" x14ac:dyDescent="0.35">
      <c r="A82" s="1530" t="s">
        <v>849</v>
      </c>
      <c r="B82" s="1531"/>
      <c r="C82" s="408">
        <v>0</v>
      </c>
      <c r="D82" s="788">
        <v>0</v>
      </c>
      <c r="E82" s="848">
        <v>0</v>
      </c>
      <c r="F82" s="788">
        <v>0</v>
      </c>
      <c r="G82" s="848">
        <v>0</v>
      </c>
      <c r="H82" s="788">
        <v>0</v>
      </c>
      <c r="I82" s="848">
        <v>0</v>
      </c>
      <c r="J82" s="788">
        <v>0</v>
      </c>
      <c r="K82" s="848">
        <v>0</v>
      </c>
      <c r="L82" s="788">
        <v>0</v>
      </c>
      <c r="M82" s="848">
        <v>0</v>
      </c>
      <c r="N82" s="788">
        <v>0</v>
      </c>
      <c r="O82" s="848">
        <v>0</v>
      </c>
      <c r="P82" s="804">
        <v>0</v>
      </c>
      <c r="Q82" s="848">
        <v>0</v>
      </c>
      <c r="R82" s="804">
        <v>0</v>
      </c>
      <c r="S82" s="848">
        <v>0</v>
      </c>
      <c r="T82" s="804">
        <v>0</v>
      </c>
      <c r="U82" s="848">
        <v>0</v>
      </c>
      <c r="V82" s="804">
        <v>0</v>
      </c>
      <c r="W82" s="848">
        <v>0</v>
      </c>
      <c r="X82" s="804">
        <v>0</v>
      </c>
      <c r="Y82" s="848">
        <v>0</v>
      </c>
      <c r="Z82" s="804">
        <v>0</v>
      </c>
      <c r="AA82" s="404">
        <f t="shared" si="14"/>
        <v>0</v>
      </c>
      <c r="AB82" s="404">
        <f t="shared" si="15"/>
        <v>0</v>
      </c>
      <c r="AC82" s="959"/>
    </row>
    <row r="83" spans="1:29" ht="21.95" customHeight="1" thickTop="1" thickBot="1" x14ac:dyDescent="0.35">
      <c r="A83" s="1530" t="s">
        <v>850</v>
      </c>
      <c r="B83" s="1531"/>
      <c r="C83" s="405">
        <v>0</v>
      </c>
      <c r="D83" s="777">
        <v>0</v>
      </c>
      <c r="E83" s="811">
        <v>0</v>
      </c>
      <c r="F83" s="777">
        <v>0</v>
      </c>
      <c r="G83" s="811">
        <v>0</v>
      </c>
      <c r="H83" s="777">
        <v>0</v>
      </c>
      <c r="I83" s="811">
        <v>0</v>
      </c>
      <c r="J83" s="777">
        <v>0</v>
      </c>
      <c r="K83" s="811">
        <v>0</v>
      </c>
      <c r="L83" s="777">
        <v>0</v>
      </c>
      <c r="M83" s="811">
        <v>0</v>
      </c>
      <c r="N83" s="777">
        <v>0</v>
      </c>
      <c r="O83" s="811">
        <v>0</v>
      </c>
      <c r="P83" s="803">
        <v>0</v>
      </c>
      <c r="Q83" s="811">
        <v>0</v>
      </c>
      <c r="R83" s="803">
        <v>0</v>
      </c>
      <c r="S83" s="811">
        <v>0</v>
      </c>
      <c r="T83" s="803">
        <v>0</v>
      </c>
      <c r="U83" s="811">
        <v>0</v>
      </c>
      <c r="V83" s="803">
        <v>0</v>
      </c>
      <c r="W83" s="811">
        <v>0</v>
      </c>
      <c r="X83" s="803">
        <v>0</v>
      </c>
      <c r="Y83" s="811">
        <v>0</v>
      </c>
      <c r="Z83" s="803">
        <v>0</v>
      </c>
      <c r="AA83" s="404">
        <f t="shared" si="14"/>
        <v>0</v>
      </c>
      <c r="AB83" s="404">
        <f t="shared" si="15"/>
        <v>0</v>
      </c>
      <c r="AC83" s="959"/>
    </row>
    <row r="84" spans="1:29" ht="21.95" customHeight="1" thickTop="1" thickBot="1" x14ac:dyDescent="0.35">
      <c r="A84" s="1530" t="s">
        <v>851</v>
      </c>
      <c r="B84" s="1531"/>
      <c r="C84" s="408">
        <v>0</v>
      </c>
      <c r="D84" s="788">
        <v>0</v>
      </c>
      <c r="E84" s="848">
        <v>0</v>
      </c>
      <c r="F84" s="788">
        <v>0</v>
      </c>
      <c r="G84" s="848">
        <v>0</v>
      </c>
      <c r="H84" s="788">
        <v>0</v>
      </c>
      <c r="I84" s="848">
        <v>0</v>
      </c>
      <c r="J84" s="788">
        <v>0</v>
      </c>
      <c r="K84" s="848">
        <v>0</v>
      </c>
      <c r="L84" s="788">
        <v>0</v>
      </c>
      <c r="M84" s="848">
        <v>0</v>
      </c>
      <c r="N84" s="788">
        <v>0</v>
      </c>
      <c r="O84" s="848">
        <v>0</v>
      </c>
      <c r="P84" s="804">
        <v>0</v>
      </c>
      <c r="Q84" s="848">
        <v>0</v>
      </c>
      <c r="R84" s="804">
        <v>0</v>
      </c>
      <c r="S84" s="848">
        <v>0</v>
      </c>
      <c r="T84" s="804">
        <v>0</v>
      </c>
      <c r="U84" s="848">
        <v>0</v>
      </c>
      <c r="V84" s="804">
        <v>0</v>
      </c>
      <c r="W84" s="848">
        <v>0</v>
      </c>
      <c r="X84" s="804">
        <v>0</v>
      </c>
      <c r="Y84" s="848">
        <v>0</v>
      </c>
      <c r="Z84" s="804">
        <v>0</v>
      </c>
      <c r="AA84" s="404">
        <f t="shared" si="14"/>
        <v>0</v>
      </c>
      <c r="AB84" s="404">
        <f t="shared" si="15"/>
        <v>0</v>
      </c>
      <c r="AC84" s="959"/>
    </row>
    <row r="85" spans="1:29" ht="21.95" customHeight="1" thickTop="1" thickBot="1" x14ac:dyDescent="0.35">
      <c r="A85" s="1530" t="s">
        <v>852</v>
      </c>
      <c r="B85" s="1531"/>
      <c r="C85" s="405">
        <v>0</v>
      </c>
      <c r="D85" s="777">
        <v>0</v>
      </c>
      <c r="E85" s="811">
        <v>0</v>
      </c>
      <c r="F85" s="777">
        <v>0</v>
      </c>
      <c r="G85" s="811">
        <v>0</v>
      </c>
      <c r="H85" s="777">
        <v>0</v>
      </c>
      <c r="I85" s="811">
        <v>0</v>
      </c>
      <c r="J85" s="777">
        <v>0</v>
      </c>
      <c r="K85" s="811">
        <v>0</v>
      </c>
      <c r="L85" s="777">
        <v>0</v>
      </c>
      <c r="M85" s="811">
        <v>0</v>
      </c>
      <c r="N85" s="777">
        <v>0</v>
      </c>
      <c r="O85" s="811">
        <v>0</v>
      </c>
      <c r="P85" s="803">
        <v>0</v>
      </c>
      <c r="Q85" s="811">
        <v>0</v>
      </c>
      <c r="R85" s="803">
        <v>0</v>
      </c>
      <c r="S85" s="811">
        <v>0</v>
      </c>
      <c r="T85" s="803">
        <v>0</v>
      </c>
      <c r="U85" s="811">
        <v>0</v>
      </c>
      <c r="V85" s="803">
        <v>0</v>
      </c>
      <c r="W85" s="811">
        <v>0</v>
      </c>
      <c r="X85" s="803">
        <v>0</v>
      </c>
      <c r="Y85" s="811">
        <v>0</v>
      </c>
      <c r="Z85" s="803">
        <v>0</v>
      </c>
      <c r="AA85" s="404">
        <f t="shared" si="14"/>
        <v>0</v>
      </c>
      <c r="AB85" s="404">
        <f t="shared" si="15"/>
        <v>0</v>
      </c>
      <c r="AC85" s="959"/>
    </row>
    <row r="86" spans="1:29" ht="21.95" customHeight="1" thickTop="1" thickBot="1" x14ac:dyDescent="0.35">
      <c r="A86" s="1530" t="s">
        <v>853</v>
      </c>
      <c r="B86" s="1531"/>
      <c r="C86" s="408">
        <v>0</v>
      </c>
      <c r="D86" s="788">
        <v>0</v>
      </c>
      <c r="E86" s="848">
        <v>1181.8399999999999</v>
      </c>
      <c r="F86" s="788">
        <v>0</v>
      </c>
      <c r="G86" s="848">
        <v>3560.48</v>
      </c>
      <c r="H86" s="788">
        <v>0</v>
      </c>
      <c r="I86" s="848">
        <v>1286.56</v>
      </c>
      <c r="J86" s="788">
        <v>0</v>
      </c>
      <c r="K86" s="848">
        <v>2752.64</v>
      </c>
      <c r="L86" s="788">
        <v>0</v>
      </c>
      <c r="M86" s="848">
        <v>3141.6</v>
      </c>
      <c r="N86" s="788">
        <v>0</v>
      </c>
      <c r="O86" s="848">
        <v>3171.52</v>
      </c>
      <c r="P86" s="804">
        <v>0</v>
      </c>
      <c r="Q86" s="848">
        <v>0</v>
      </c>
      <c r="R86" s="804">
        <v>0</v>
      </c>
      <c r="S86" s="848">
        <v>0</v>
      </c>
      <c r="T86" s="804">
        <v>0</v>
      </c>
      <c r="U86" s="848">
        <v>2067.7800000000002</v>
      </c>
      <c r="V86" s="804">
        <v>0</v>
      </c>
      <c r="W86" s="848">
        <v>0</v>
      </c>
      <c r="X86" s="804">
        <v>0</v>
      </c>
      <c r="Y86" s="848">
        <v>1384.35</v>
      </c>
      <c r="Z86" s="804">
        <v>0</v>
      </c>
      <c r="AA86" s="404">
        <f t="shared" si="14"/>
        <v>18546.769999999997</v>
      </c>
      <c r="AB86" s="404">
        <f t="shared" si="15"/>
        <v>0</v>
      </c>
      <c r="AC86" s="959"/>
    </row>
    <row r="87" spans="1:29" ht="21.95" customHeight="1" thickTop="1" thickBot="1" x14ac:dyDescent="0.35">
      <c r="A87" s="1530" t="s">
        <v>854</v>
      </c>
      <c r="B87" s="1531"/>
      <c r="C87" s="405">
        <v>0</v>
      </c>
      <c r="D87" s="777">
        <v>0</v>
      </c>
      <c r="E87" s="811">
        <v>0</v>
      </c>
      <c r="F87" s="777">
        <v>0</v>
      </c>
      <c r="G87" s="811">
        <v>0</v>
      </c>
      <c r="H87" s="777">
        <v>0</v>
      </c>
      <c r="I87" s="811">
        <v>0</v>
      </c>
      <c r="J87" s="777">
        <v>0</v>
      </c>
      <c r="K87" s="811">
        <v>0</v>
      </c>
      <c r="L87" s="777">
        <v>0</v>
      </c>
      <c r="M87" s="811">
        <v>0</v>
      </c>
      <c r="N87" s="777">
        <v>0</v>
      </c>
      <c r="O87" s="811">
        <v>0</v>
      </c>
      <c r="P87" s="803">
        <v>0</v>
      </c>
      <c r="Q87" s="811">
        <v>0</v>
      </c>
      <c r="R87" s="803">
        <v>0</v>
      </c>
      <c r="S87" s="811">
        <v>0</v>
      </c>
      <c r="T87" s="803">
        <v>0</v>
      </c>
      <c r="U87" s="811">
        <v>338.46</v>
      </c>
      <c r="V87" s="803">
        <v>0</v>
      </c>
      <c r="W87" s="811">
        <v>529.16999999999996</v>
      </c>
      <c r="X87" s="803">
        <v>0</v>
      </c>
      <c r="Y87" s="811">
        <v>180.9</v>
      </c>
      <c r="Z87" s="803">
        <v>0</v>
      </c>
      <c r="AA87" s="404">
        <f t="shared" si="14"/>
        <v>1048.53</v>
      </c>
      <c r="AB87" s="404">
        <f t="shared" si="15"/>
        <v>0</v>
      </c>
      <c r="AC87" s="959"/>
    </row>
    <row r="88" spans="1:29" ht="21.95" customHeight="1" thickTop="1" thickBot="1" x14ac:dyDescent="0.35">
      <c r="A88" s="1530" t="s">
        <v>855</v>
      </c>
      <c r="B88" s="1531"/>
      <c r="C88" s="408">
        <v>0</v>
      </c>
      <c r="D88" s="788">
        <v>0</v>
      </c>
      <c r="E88" s="848">
        <v>0</v>
      </c>
      <c r="F88" s="788">
        <v>0</v>
      </c>
      <c r="G88" s="848">
        <v>0</v>
      </c>
      <c r="H88" s="788">
        <v>0</v>
      </c>
      <c r="I88" s="848">
        <v>0</v>
      </c>
      <c r="J88" s="788">
        <v>0</v>
      </c>
      <c r="K88" s="848">
        <v>0</v>
      </c>
      <c r="L88" s="788">
        <v>0</v>
      </c>
      <c r="M88" s="848">
        <v>0</v>
      </c>
      <c r="N88" s="788">
        <v>0</v>
      </c>
      <c r="O88" s="848">
        <v>0</v>
      </c>
      <c r="P88" s="804">
        <v>0</v>
      </c>
      <c r="Q88" s="848">
        <v>0</v>
      </c>
      <c r="R88" s="804">
        <v>0</v>
      </c>
      <c r="S88" s="848">
        <v>0</v>
      </c>
      <c r="T88" s="804">
        <v>0</v>
      </c>
      <c r="U88" s="848">
        <v>0</v>
      </c>
      <c r="V88" s="804">
        <v>0</v>
      </c>
      <c r="W88" s="848">
        <v>0</v>
      </c>
      <c r="X88" s="804">
        <v>0</v>
      </c>
      <c r="Y88" s="848">
        <v>0</v>
      </c>
      <c r="Z88" s="804">
        <v>0</v>
      </c>
      <c r="AA88" s="404">
        <f t="shared" si="14"/>
        <v>0</v>
      </c>
      <c r="AB88" s="404">
        <f t="shared" si="15"/>
        <v>0</v>
      </c>
      <c r="AC88" s="959"/>
    </row>
    <row r="89" spans="1:29" ht="21.95" customHeight="1" thickTop="1" thickBot="1" x14ac:dyDescent="0.35">
      <c r="A89" s="1530" t="s">
        <v>856</v>
      </c>
      <c r="B89" s="1531"/>
      <c r="C89" s="405">
        <v>0</v>
      </c>
      <c r="D89" s="777">
        <v>0</v>
      </c>
      <c r="E89" s="811">
        <v>0</v>
      </c>
      <c r="F89" s="777">
        <v>0</v>
      </c>
      <c r="G89" s="811">
        <v>150</v>
      </c>
      <c r="H89" s="777">
        <v>0</v>
      </c>
      <c r="I89" s="811">
        <v>0</v>
      </c>
      <c r="J89" s="777">
        <v>0</v>
      </c>
      <c r="K89" s="811">
        <v>0</v>
      </c>
      <c r="L89" s="777">
        <v>0</v>
      </c>
      <c r="M89" s="811">
        <v>0</v>
      </c>
      <c r="N89" s="777">
        <v>0</v>
      </c>
      <c r="O89" s="811">
        <v>0</v>
      </c>
      <c r="P89" s="803">
        <v>0</v>
      </c>
      <c r="Q89" s="811">
        <v>0</v>
      </c>
      <c r="R89" s="803">
        <v>0</v>
      </c>
      <c r="S89" s="811">
        <v>0</v>
      </c>
      <c r="T89" s="803">
        <v>0</v>
      </c>
      <c r="U89" s="811">
        <v>0</v>
      </c>
      <c r="V89" s="803">
        <v>0</v>
      </c>
      <c r="W89" s="811">
        <v>0</v>
      </c>
      <c r="X89" s="803">
        <v>0</v>
      </c>
      <c r="Y89" s="811">
        <v>0</v>
      </c>
      <c r="Z89" s="803">
        <v>0</v>
      </c>
      <c r="AA89" s="404">
        <f t="shared" si="14"/>
        <v>150</v>
      </c>
      <c r="AB89" s="404">
        <f t="shared" si="15"/>
        <v>0</v>
      </c>
      <c r="AC89" s="959"/>
    </row>
    <row r="90" spans="1:29" ht="21.95" customHeight="1" thickTop="1" thickBot="1" x14ac:dyDescent="0.35">
      <c r="A90" s="1530" t="s">
        <v>857</v>
      </c>
      <c r="B90" s="1531"/>
      <c r="C90" s="408">
        <v>0</v>
      </c>
      <c r="D90" s="788">
        <v>0</v>
      </c>
      <c r="E90" s="848">
        <v>0</v>
      </c>
      <c r="F90" s="788">
        <v>0</v>
      </c>
      <c r="G90" s="848">
        <v>0</v>
      </c>
      <c r="H90" s="788">
        <v>0</v>
      </c>
      <c r="I90" s="848">
        <v>0</v>
      </c>
      <c r="J90" s="788">
        <v>0</v>
      </c>
      <c r="K90" s="848">
        <v>0</v>
      </c>
      <c r="L90" s="788">
        <v>0</v>
      </c>
      <c r="M90" s="848">
        <v>0</v>
      </c>
      <c r="N90" s="788">
        <v>0</v>
      </c>
      <c r="O90" s="848">
        <v>0</v>
      </c>
      <c r="P90" s="804">
        <v>0</v>
      </c>
      <c r="Q90" s="848">
        <v>0</v>
      </c>
      <c r="R90" s="804">
        <v>0</v>
      </c>
      <c r="S90" s="848">
        <v>0</v>
      </c>
      <c r="T90" s="804">
        <v>0</v>
      </c>
      <c r="U90" s="848">
        <v>0</v>
      </c>
      <c r="V90" s="804">
        <v>0</v>
      </c>
      <c r="W90" s="848">
        <v>0</v>
      </c>
      <c r="X90" s="804">
        <v>0</v>
      </c>
      <c r="Y90" s="848">
        <v>0</v>
      </c>
      <c r="Z90" s="804">
        <v>0</v>
      </c>
      <c r="AA90" s="404">
        <f t="shared" si="14"/>
        <v>0</v>
      </c>
      <c r="AB90" s="404">
        <f t="shared" si="15"/>
        <v>0</v>
      </c>
      <c r="AC90" s="959"/>
    </row>
    <row r="91" spans="1:29" ht="21.95" customHeight="1" thickTop="1" thickBot="1" x14ac:dyDescent="0.35">
      <c r="A91" s="1530" t="s">
        <v>858</v>
      </c>
      <c r="B91" s="1531"/>
      <c r="C91" s="405">
        <v>0</v>
      </c>
      <c r="D91" s="777">
        <v>0</v>
      </c>
      <c r="E91" s="811">
        <v>0</v>
      </c>
      <c r="F91" s="777">
        <v>0</v>
      </c>
      <c r="G91" s="811">
        <v>0</v>
      </c>
      <c r="H91" s="777">
        <v>0</v>
      </c>
      <c r="I91" s="811">
        <v>0</v>
      </c>
      <c r="J91" s="777">
        <v>0</v>
      </c>
      <c r="K91" s="811">
        <v>0</v>
      </c>
      <c r="L91" s="777">
        <v>0</v>
      </c>
      <c r="M91" s="811">
        <v>0</v>
      </c>
      <c r="N91" s="777">
        <v>0</v>
      </c>
      <c r="O91" s="811">
        <v>0</v>
      </c>
      <c r="P91" s="803">
        <v>0</v>
      </c>
      <c r="Q91" s="811">
        <v>0</v>
      </c>
      <c r="R91" s="803">
        <v>0</v>
      </c>
      <c r="S91" s="811">
        <v>0</v>
      </c>
      <c r="T91" s="803">
        <v>0</v>
      </c>
      <c r="U91" s="811">
        <v>0</v>
      </c>
      <c r="V91" s="803">
        <v>0</v>
      </c>
      <c r="W91" s="811">
        <v>0</v>
      </c>
      <c r="X91" s="803">
        <v>0</v>
      </c>
      <c r="Y91" s="811">
        <v>0</v>
      </c>
      <c r="Z91" s="803">
        <v>0</v>
      </c>
      <c r="AA91" s="404">
        <f t="shared" si="14"/>
        <v>0</v>
      </c>
      <c r="AB91" s="404">
        <f t="shared" si="15"/>
        <v>0</v>
      </c>
      <c r="AC91" s="959"/>
    </row>
    <row r="92" spans="1:29" ht="21.95" customHeight="1" thickTop="1" thickBot="1" x14ac:dyDescent="0.35">
      <c r="A92" s="1530" t="s">
        <v>859</v>
      </c>
      <c r="B92" s="1531"/>
      <c r="C92" s="408">
        <v>0</v>
      </c>
      <c r="D92" s="788">
        <v>0</v>
      </c>
      <c r="E92" s="848">
        <v>0</v>
      </c>
      <c r="F92" s="788">
        <v>0</v>
      </c>
      <c r="G92" s="848">
        <v>0</v>
      </c>
      <c r="H92" s="788">
        <v>0</v>
      </c>
      <c r="I92" s="848">
        <v>0</v>
      </c>
      <c r="J92" s="788">
        <v>0</v>
      </c>
      <c r="K92" s="848">
        <v>0</v>
      </c>
      <c r="L92" s="788">
        <v>0</v>
      </c>
      <c r="M92" s="848">
        <v>0</v>
      </c>
      <c r="N92" s="788">
        <v>0</v>
      </c>
      <c r="O92" s="848">
        <v>0</v>
      </c>
      <c r="P92" s="804">
        <v>0</v>
      </c>
      <c r="Q92" s="848">
        <v>0</v>
      </c>
      <c r="R92" s="804">
        <v>0</v>
      </c>
      <c r="S92" s="848">
        <v>0</v>
      </c>
      <c r="T92" s="804">
        <v>0</v>
      </c>
      <c r="U92" s="848">
        <v>0</v>
      </c>
      <c r="V92" s="804">
        <v>0</v>
      </c>
      <c r="W92" s="848">
        <v>0</v>
      </c>
      <c r="X92" s="804">
        <v>0</v>
      </c>
      <c r="Y92" s="848">
        <v>0</v>
      </c>
      <c r="Z92" s="804">
        <v>0</v>
      </c>
      <c r="AA92" s="404">
        <f t="shared" si="14"/>
        <v>0</v>
      </c>
      <c r="AB92" s="404">
        <f t="shared" si="15"/>
        <v>0</v>
      </c>
      <c r="AC92" s="959"/>
    </row>
    <row r="93" spans="1:29" ht="21.95" customHeight="1" thickTop="1" thickBot="1" x14ac:dyDescent="0.35">
      <c r="A93" s="1530" t="s">
        <v>860</v>
      </c>
      <c r="B93" s="1531"/>
      <c r="C93" s="405">
        <v>0</v>
      </c>
      <c r="D93" s="777">
        <v>0</v>
      </c>
      <c r="E93" s="810">
        <v>0</v>
      </c>
      <c r="F93" s="777">
        <v>0</v>
      </c>
      <c r="G93" s="810">
        <v>0</v>
      </c>
      <c r="H93" s="777">
        <v>0</v>
      </c>
      <c r="I93" s="810">
        <v>0</v>
      </c>
      <c r="J93" s="777">
        <v>0</v>
      </c>
      <c r="K93" s="810">
        <v>0</v>
      </c>
      <c r="L93" s="777">
        <v>0</v>
      </c>
      <c r="M93" s="810">
        <v>0</v>
      </c>
      <c r="N93" s="777">
        <v>0</v>
      </c>
      <c r="O93" s="810">
        <v>0</v>
      </c>
      <c r="P93" s="815">
        <v>0</v>
      </c>
      <c r="Q93" s="810">
        <v>0</v>
      </c>
      <c r="R93" s="815">
        <v>0</v>
      </c>
      <c r="S93" s="810">
        <v>0</v>
      </c>
      <c r="T93" s="815">
        <v>0</v>
      </c>
      <c r="U93" s="810">
        <v>0</v>
      </c>
      <c r="V93" s="815">
        <v>0</v>
      </c>
      <c r="W93" s="810">
        <v>0</v>
      </c>
      <c r="X93" s="815">
        <v>0</v>
      </c>
      <c r="Y93" s="810">
        <v>0</v>
      </c>
      <c r="Z93" s="815">
        <v>0</v>
      </c>
      <c r="AA93" s="404">
        <f t="shared" si="14"/>
        <v>0</v>
      </c>
      <c r="AB93" s="404">
        <f t="shared" si="15"/>
        <v>0</v>
      </c>
      <c r="AC93" s="959"/>
    </row>
    <row r="94" spans="1:29" ht="21.95" customHeight="1" thickTop="1" thickBot="1" x14ac:dyDescent="0.35">
      <c r="A94" s="1530" t="s">
        <v>861</v>
      </c>
      <c r="B94" s="1531"/>
      <c r="C94" s="408">
        <v>8001.35</v>
      </c>
      <c r="D94" s="788">
        <v>0</v>
      </c>
      <c r="E94" s="848">
        <v>5938.13</v>
      </c>
      <c r="F94" s="788">
        <v>0</v>
      </c>
      <c r="G94" s="848">
        <v>6097.78</v>
      </c>
      <c r="H94" s="788">
        <v>0</v>
      </c>
      <c r="I94" s="848">
        <v>5360.66</v>
      </c>
      <c r="J94" s="788">
        <v>0</v>
      </c>
      <c r="K94" s="848">
        <v>8749.84</v>
      </c>
      <c r="L94" s="788">
        <v>0</v>
      </c>
      <c r="M94" s="848">
        <v>6853.68</v>
      </c>
      <c r="N94" s="788">
        <v>0</v>
      </c>
      <c r="O94" s="848">
        <v>10274.32</v>
      </c>
      <c r="P94" s="804">
        <v>0</v>
      </c>
      <c r="Q94" s="848">
        <v>1882.01</v>
      </c>
      <c r="R94" s="804">
        <v>0</v>
      </c>
      <c r="S94" s="848">
        <v>9808.08</v>
      </c>
      <c r="T94" s="804">
        <v>0</v>
      </c>
      <c r="U94" s="848">
        <v>10389.24</v>
      </c>
      <c r="V94" s="804">
        <v>0</v>
      </c>
      <c r="W94" s="848">
        <v>9048.39</v>
      </c>
      <c r="X94" s="804">
        <v>0</v>
      </c>
      <c r="Y94" s="848">
        <v>8294.0400000000009</v>
      </c>
      <c r="Z94" s="804">
        <v>0</v>
      </c>
      <c r="AA94" s="404">
        <f t="shared" si="14"/>
        <v>90697.51999999999</v>
      </c>
      <c r="AB94" s="404">
        <f t="shared" si="15"/>
        <v>0</v>
      </c>
      <c r="AC94" s="959"/>
    </row>
    <row r="95" spans="1:29" ht="21.95" customHeight="1" thickTop="1" thickBot="1" x14ac:dyDescent="0.35">
      <c r="A95" s="1530" t="s">
        <v>768</v>
      </c>
      <c r="B95" s="1531"/>
      <c r="C95" s="408">
        <v>0</v>
      </c>
      <c r="D95" s="788">
        <v>100491.06</v>
      </c>
      <c r="E95" s="847">
        <v>0</v>
      </c>
      <c r="F95" s="788">
        <v>140829.41</v>
      </c>
      <c r="G95" s="847">
        <v>516</v>
      </c>
      <c r="H95" s="788">
        <v>106991.09</v>
      </c>
      <c r="I95" s="847">
        <v>0</v>
      </c>
      <c r="J95" s="788">
        <v>115177.02</v>
      </c>
      <c r="K95" s="847">
        <v>0</v>
      </c>
      <c r="L95" s="788">
        <v>131578.49</v>
      </c>
      <c r="M95" s="847">
        <v>0</v>
      </c>
      <c r="N95" s="788">
        <v>146938.93</v>
      </c>
      <c r="O95" s="847">
        <v>0</v>
      </c>
      <c r="P95" s="851">
        <v>1171781.1100000001</v>
      </c>
      <c r="Q95" s="847">
        <v>0</v>
      </c>
      <c r="R95" s="851">
        <v>15263.97</v>
      </c>
      <c r="S95" s="847">
        <v>0</v>
      </c>
      <c r="T95" s="851">
        <v>163103.23000000001</v>
      </c>
      <c r="U95" s="847">
        <v>0</v>
      </c>
      <c r="V95" s="851">
        <v>168743.54</v>
      </c>
      <c r="W95" s="847">
        <v>0</v>
      </c>
      <c r="X95" s="851">
        <v>154602.73000000001</v>
      </c>
      <c r="Y95" s="847">
        <v>2600.9499999999998</v>
      </c>
      <c r="Z95" s="851">
        <v>126420.76</v>
      </c>
      <c r="AA95" s="404">
        <f t="shared" si="14"/>
        <v>3116.95</v>
      </c>
      <c r="AB95" s="404">
        <f t="shared" si="15"/>
        <v>2541921.34</v>
      </c>
      <c r="AC95" s="959"/>
    </row>
    <row r="96" spans="1:29" ht="21.95" customHeight="1" thickTop="1" thickBot="1" x14ac:dyDescent="0.35">
      <c r="A96" s="1530" t="s">
        <v>862</v>
      </c>
      <c r="B96" s="1531"/>
      <c r="C96" s="405">
        <v>0</v>
      </c>
      <c r="D96" s="777">
        <v>0</v>
      </c>
      <c r="E96" s="810">
        <v>0</v>
      </c>
      <c r="F96" s="777">
        <v>0</v>
      </c>
      <c r="G96" s="810">
        <v>24.94</v>
      </c>
      <c r="H96" s="777">
        <v>0</v>
      </c>
      <c r="I96" s="810">
        <v>0</v>
      </c>
      <c r="J96" s="777">
        <v>0</v>
      </c>
      <c r="K96" s="810">
        <v>0</v>
      </c>
      <c r="L96" s="777">
        <v>0</v>
      </c>
      <c r="M96" s="810">
        <v>0</v>
      </c>
      <c r="N96" s="777">
        <v>0</v>
      </c>
      <c r="O96" s="810">
        <v>0</v>
      </c>
      <c r="P96" s="815">
        <v>0</v>
      </c>
      <c r="Q96" s="810">
        <v>0</v>
      </c>
      <c r="R96" s="815">
        <v>0</v>
      </c>
      <c r="S96" s="810">
        <v>0</v>
      </c>
      <c r="T96" s="815">
        <v>0</v>
      </c>
      <c r="U96" s="810">
        <v>0</v>
      </c>
      <c r="V96" s="815">
        <v>0</v>
      </c>
      <c r="W96" s="810">
        <v>0</v>
      </c>
      <c r="X96" s="815">
        <v>0</v>
      </c>
      <c r="Y96" s="810">
        <v>0</v>
      </c>
      <c r="Z96" s="815">
        <v>0</v>
      </c>
      <c r="AA96" s="404">
        <f t="shared" si="14"/>
        <v>24.94</v>
      </c>
      <c r="AB96" s="404">
        <f t="shared" si="15"/>
        <v>0</v>
      </c>
      <c r="AC96" s="959"/>
    </row>
    <row r="97" spans="1:29" ht="21.95" customHeight="1" thickTop="1" thickBot="1" x14ac:dyDescent="0.35">
      <c r="A97" s="1530" t="s">
        <v>863</v>
      </c>
      <c r="B97" s="1531"/>
      <c r="C97" s="408">
        <v>0</v>
      </c>
      <c r="D97" s="788">
        <v>0</v>
      </c>
      <c r="E97" s="848">
        <v>0</v>
      </c>
      <c r="F97" s="788">
        <v>0</v>
      </c>
      <c r="G97" s="848">
        <v>0</v>
      </c>
      <c r="H97" s="788">
        <v>0</v>
      </c>
      <c r="I97" s="848">
        <v>0</v>
      </c>
      <c r="J97" s="788">
        <v>0</v>
      </c>
      <c r="K97" s="848">
        <v>0</v>
      </c>
      <c r="L97" s="788">
        <v>0</v>
      </c>
      <c r="M97" s="848">
        <v>0</v>
      </c>
      <c r="N97" s="788">
        <v>0</v>
      </c>
      <c r="O97" s="848">
        <v>0</v>
      </c>
      <c r="P97" s="804">
        <v>0</v>
      </c>
      <c r="Q97" s="848">
        <v>0</v>
      </c>
      <c r="R97" s="804">
        <v>0</v>
      </c>
      <c r="S97" s="848">
        <v>0</v>
      </c>
      <c r="T97" s="804">
        <v>0</v>
      </c>
      <c r="U97" s="848">
        <v>0</v>
      </c>
      <c r="V97" s="804">
        <v>0</v>
      </c>
      <c r="W97" s="848">
        <v>0</v>
      </c>
      <c r="X97" s="804">
        <v>0</v>
      </c>
      <c r="Y97" s="848">
        <v>0</v>
      </c>
      <c r="Z97" s="804">
        <v>0</v>
      </c>
      <c r="AA97" s="404">
        <f t="shared" si="14"/>
        <v>0</v>
      </c>
      <c r="AB97" s="404">
        <f t="shared" si="15"/>
        <v>0</v>
      </c>
      <c r="AC97" s="959"/>
    </row>
    <row r="98" spans="1:29" ht="21.95" customHeight="1" thickTop="1" thickBot="1" x14ac:dyDescent="0.35">
      <c r="A98" s="1530" t="s">
        <v>864</v>
      </c>
      <c r="B98" s="1531"/>
      <c r="C98" s="405">
        <v>0</v>
      </c>
      <c r="D98" s="777">
        <v>0</v>
      </c>
      <c r="E98" s="811">
        <v>0</v>
      </c>
      <c r="F98" s="777">
        <v>0</v>
      </c>
      <c r="G98" s="811">
        <v>0</v>
      </c>
      <c r="H98" s="777">
        <v>0</v>
      </c>
      <c r="I98" s="811">
        <v>0</v>
      </c>
      <c r="J98" s="777">
        <v>0</v>
      </c>
      <c r="K98" s="811">
        <v>0</v>
      </c>
      <c r="L98" s="777">
        <v>0</v>
      </c>
      <c r="M98" s="811">
        <v>0</v>
      </c>
      <c r="N98" s="777">
        <v>0</v>
      </c>
      <c r="O98" s="811">
        <v>0</v>
      </c>
      <c r="P98" s="803">
        <v>0</v>
      </c>
      <c r="Q98" s="811">
        <v>0</v>
      </c>
      <c r="R98" s="803">
        <v>0</v>
      </c>
      <c r="S98" s="811">
        <v>0</v>
      </c>
      <c r="T98" s="803">
        <v>0</v>
      </c>
      <c r="U98" s="811">
        <v>0</v>
      </c>
      <c r="V98" s="803">
        <v>0</v>
      </c>
      <c r="W98" s="811">
        <v>0</v>
      </c>
      <c r="X98" s="803">
        <v>0</v>
      </c>
      <c r="Y98" s="811">
        <v>0</v>
      </c>
      <c r="Z98" s="803">
        <v>0</v>
      </c>
      <c r="AA98" s="404">
        <f t="shared" si="14"/>
        <v>0</v>
      </c>
      <c r="AB98" s="404">
        <f t="shared" si="15"/>
        <v>0</v>
      </c>
      <c r="AC98" s="959"/>
    </row>
    <row r="99" spans="1:29" ht="21.95" customHeight="1" thickTop="1" thickBot="1" x14ac:dyDescent="0.35">
      <c r="A99" s="1530" t="s">
        <v>865</v>
      </c>
      <c r="B99" s="1531"/>
      <c r="C99" s="408">
        <v>493.2</v>
      </c>
      <c r="D99" s="788">
        <v>0</v>
      </c>
      <c r="E99" s="848">
        <v>192.98</v>
      </c>
      <c r="F99" s="788">
        <v>0</v>
      </c>
      <c r="G99" s="848">
        <v>6527.95</v>
      </c>
      <c r="H99" s="788">
        <v>0</v>
      </c>
      <c r="I99" s="848">
        <v>2898.76</v>
      </c>
      <c r="J99" s="788">
        <v>0</v>
      </c>
      <c r="K99" s="848">
        <v>10388.799999999999</v>
      </c>
      <c r="L99" s="788">
        <v>0</v>
      </c>
      <c r="M99" s="848">
        <v>5316.09</v>
      </c>
      <c r="N99" s="788">
        <v>0</v>
      </c>
      <c r="O99" s="848">
        <v>440.08</v>
      </c>
      <c r="P99" s="804">
        <v>0</v>
      </c>
      <c r="Q99" s="848">
        <v>0</v>
      </c>
      <c r="R99" s="804">
        <v>0</v>
      </c>
      <c r="S99" s="848">
        <v>10691.69</v>
      </c>
      <c r="T99" s="804">
        <v>0</v>
      </c>
      <c r="U99" s="848">
        <v>18737.78</v>
      </c>
      <c r="V99" s="804">
        <v>0</v>
      </c>
      <c r="W99" s="848">
        <v>12680.21</v>
      </c>
      <c r="X99" s="804">
        <v>0</v>
      </c>
      <c r="Y99" s="848">
        <v>-157.30000000000001</v>
      </c>
      <c r="Z99" s="804">
        <v>0</v>
      </c>
      <c r="AA99" s="404">
        <f t="shared" si="14"/>
        <v>68210.240000000005</v>
      </c>
      <c r="AB99" s="404">
        <f t="shared" si="15"/>
        <v>0</v>
      </c>
      <c r="AC99" s="959"/>
    </row>
    <row r="100" spans="1:29" ht="21.95" customHeight="1" thickTop="1" thickBot="1" x14ac:dyDescent="0.35">
      <c r="A100" s="1530" t="s">
        <v>1018</v>
      </c>
      <c r="B100" s="1531"/>
      <c r="C100" s="405">
        <v>76</v>
      </c>
      <c r="D100" s="777">
        <v>0</v>
      </c>
      <c r="E100" s="811">
        <v>76</v>
      </c>
      <c r="F100" s="777">
        <v>0</v>
      </c>
      <c r="G100" s="811">
        <v>0</v>
      </c>
      <c r="H100" s="777">
        <v>0</v>
      </c>
      <c r="I100" s="811">
        <v>0</v>
      </c>
      <c r="J100" s="777">
        <v>0</v>
      </c>
      <c r="K100" s="811">
        <v>228</v>
      </c>
      <c r="L100" s="777">
        <v>0</v>
      </c>
      <c r="M100" s="811">
        <v>0</v>
      </c>
      <c r="N100" s="777">
        <v>0</v>
      </c>
      <c r="O100" s="811">
        <v>0</v>
      </c>
      <c r="P100" s="803">
        <v>0</v>
      </c>
      <c r="Q100" s="811">
        <v>0</v>
      </c>
      <c r="R100" s="803">
        <v>0</v>
      </c>
      <c r="S100" s="811">
        <v>284.8</v>
      </c>
      <c r="T100" s="803">
        <v>0</v>
      </c>
      <c r="U100" s="811">
        <v>0</v>
      </c>
      <c r="V100" s="803">
        <v>0</v>
      </c>
      <c r="W100" s="811">
        <v>76</v>
      </c>
      <c r="X100" s="803">
        <v>0</v>
      </c>
      <c r="Y100" s="811">
        <v>88.8</v>
      </c>
      <c r="Z100" s="803">
        <v>0</v>
      </c>
      <c r="AA100" s="404">
        <f t="shared" si="14"/>
        <v>829.59999999999991</v>
      </c>
      <c r="AB100" s="404">
        <f t="shared" si="15"/>
        <v>0</v>
      </c>
      <c r="AC100" s="959"/>
    </row>
    <row r="101" spans="1:29" ht="21.95" customHeight="1" thickTop="1" thickBot="1" x14ac:dyDescent="0.35">
      <c r="A101" s="1530" t="s">
        <v>296</v>
      </c>
      <c r="B101" s="1531"/>
      <c r="C101" s="408">
        <v>0</v>
      </c>
      <c r="D101" s="788">
        <v>0</v>
      </c>
      <c r="E101" s="848">
        <v>0</v>
      </c>
      <c r="F101" s="788">
        <v>0</v>
      </c>
      <c r="G101" s="848">
        <v>0</v>
      </c>
      <c r="H101" s="788">
        <v>0</v>
      </c>
      <c r="I101" s="848">
        <v>0</v>
      </c>
      <c r="J101" s="788">
        <v>0</v>
      </c>
      <c r="K101" s="848">
        <v>0</v>
      </c>
      <c r="L101" s="788">
        <v>0</v>
      </c>
      <c r="M101" s="848">
        <v>0</v>
      </c>
      <c r="N101" s="788">
        <v>0</v>
      </c>
      <c r="O101" s="848">
        <v>0</v>
      </c>
      <c r="P101" s="804">
        <v>0</v>
      </c>
      <c r="Q101" s="848">
        <v>0</v>
      </c>
      <c r="R101" s="804">
        <v>0</v>
      </c>
      <c r="S101" s="848">
        <v>0</v>
      </c>
      <c r="T101" s="804">
        <v>0</v>
      </c>
      <c r="U101" s="848">
        <v>0</v>
      </c>
      <c r="V101" s="804">
        <v>0</v>
      </c>
      <c r="W101" s="848">
        <v>0</v>
      </c>
      <c r="X101" s="804">
        <v>0</v>
      </c>
      <c r="Y101" s="848">
        <v>0</v>
      </c>
      <c r="Z101" s="804">
        <v>0</v>
      </c>
      <c r="AA101" s="404">
        <f t="shared" si="14"/>
        <v>0</v>
      </c>
      <c r="AB101" s="404">
        <f t="shared" si="15"/>
        <v>0</v>
      </c>
      <c r="AC101" s="959"/>
    </row>
    <row r="102" spans="1:29" ht="21.95" customHeight="1" thickTop="1" thickBot="1" x14ac:dyDescent="0.35">
      <c r="A102" s="1530" t="s">
        <v>638</v>
      </c>
      <c r="B102" s="1531"/>
      <c r="C102" s="405">
        <v>0</v>
      </c>
      <c r="D102" s="777">
        <v>0</v>
      </c>
      <c r="E102" s="810">
        <v>0</v>
      </c>
      <c r="F102" s="777">
        <v>0</v>
      </c>
      <c r="G102" s="810">
        <v>0</v>
      </c>
      <c r="H102" s="777">
        <v>0</v>
      </c>
      <c r="I102" s="810">
        <v>0</v>
      </c>
      <c r="J102" s="777">
        <v>0</v>
      </c>
      <c r="K102" s="810">
        <v>0</v>
      </c>
      <c r="L102" s="777">
        <v>0</v>
      </c>
      <c r="M102" s="810">
        <v>0</v>
      </c>
      <c r="N102" s="777">
        <v>0</v>
      </c>
      <c r="O102" s="810">
        <v>0</v>
      </c>
      <c r="P102" s="815">
        <v>0</v>
      </c>
      <c r="Q102" s="810">
        <v>0</v>
      </c>
      <c r="R102" s="815">
        <v>0</v>
      </c>
      <c r="S102" s="810">
        <v>0</v>
      </c>
      <c r="T102" s="815">
        <v>0</v>
      </c>
      <c r="U102" s="810">
        <v>0</v>
      </c>
      <c r="V102" s="815">
        <v>0</v>
      </c>
      <c r="W102" s="810">
        <v>0</v>
      </c>
      <c r="X102" s="815">
        <v>0</v>
      </c>
      <c r="Y102" s="810">
        <v>0</v>
      </c>
      <c r="Z102" s="815">
        <v>0</v>
      </c>
      <c r="AA102" s="404">
        <f t="shared" si="14"/>
        <v>0</v>
      </c>
      <c r="AB102" s="404">
        <f t="shared" si="15"/>
        <v>0</v>
      </c>
      <c r="AC102" s="959"/>
    </row>
    <row r="103" spans="1:29" ht="21.95" customHeight="1" thickTop="1" thickBot="1" x14ac:dyDescent="0.35">
      <c r="A103" s="1530" t="s">
        <v>1023</v>
      </c>
      <c r="B103" s="1531"/>
      <c r="C103" s="408">
        <v>0</v>
      </c>
      <c r="D103" s="788">
        <v>0</v>
      </c>
      <c r="E103" s="847">
        <v>0</v>
      </c>
      <c r="F103" s="788">
        <v>0</v>
      </c>
      <c r="G103" s="847">
        <v>1809.27</v>
      </c>
      <c r="H103" s="788">
        <v>0</v>
      </c>
      <c r="I103" s="847">
        <v>0</v>
      </c>
      <c r="J103" s="788">
        <v>0</v>
      </c>
      <c r="K103" s="847">
        <v>5463.92</v>
      </c>
      <c r="L103" s="788">
        <v>0</v>
      </c>
      <c r="M103" s="847">
        <v>0</v>
      </c>
      <c r="N103" s="788">
        <v>0</v>
      </c>
      <c r="O103" s="847">
        <v>3563.12</v>
      </c>
      <c r="P103" s="851">
        <v>0</v>
      </c>
      <c r="Q103" s="847">
        <v>517.69000000000005</v>
      </c>
      <c r="R103" s="851">
        <v>0</v>
      </c>
      <c r="S103" s="847">
        <v>5331.11</v>
      </c>
      <c r="T103" s="851">
        <v>0</v>
      </c>
      <c r="U103" s="847">
        <v>13.53</v>
      </c>
      <c r="V103" s="851">
        <v>0</v>
      </c>
      <c r="W103" s="847">
        <v>542.73</v>
      </c>
      <c r="X103" s="851">
        <v>0</v>
      </c>
      <c r="Y103" s="847">
        <v>4990.08</v>
      </c>
      <c r="Z103" s="851">
        <v>0</v>
      </c>
      <c r="AA103" s="404">
        <f t="shared" si="14"/>
        <v>22231.449999999997</v>
      </c>
      <c r="AB103" s="404">
        <f t="shared" si="15"/>
        <v>0</v>
      </c>
      <c r="AC103" s="959"/>
    </row>
    <row r="104" spans="1:29" ht="21.95" customHeight="1" thickTop="1" thickBot="1" x14ac:dyDescent="0.35">
      <c r="A104" s="1530" t="s">
        <v>866</v>
      </c>
      <c r="B104" s="1531"/>
      <c r="C104" s="405">
        <v>2756.78</v>
      </c>
      <c r="D104" s="777">
        <v>0</v>
      </c>
      <c r="E104" s="810">
        <v>2486.34</v>
      </c>
      <c r="F104" s="777">
        <v>0</v>
      </c>
      <c r="G104" s="810">
        <v>3326.53</v>
      </c>
      <c r="H104" s="777">
        <v>0</v>
      </c>
      <c r="I104" s="810">
        <v>1364.38</v>
      </c>
      <c r="J104" s="777">
        <v>0</v>
      </c>
      <c r="K104" s="810">
        <v>3160.5</v>
      </c>
      <c r="L104" s="777">
        <v>0</v>
      </c>
      <c r="M104" s="810">
        <v>2566</v>
      </c>
      <c r="N104" s="777">
        <v>0</v>
      </c>
      <c r="O104" s="810">
        <v>3544.42</v>
      </c>
      <c r="P104" s="815">
        <v>0</v>
      </c>
      <c r="Q104" s="810">
        <v>1158.6400000000001</v>
      </c>
      <c r="R104" s="815">
        <v>0</v>
      </c>
      <c r="S104" s="810">
        <v>906.75</v>
      </c>
      <c r="T104" s="815">
        <v>0</v>
      </c>
      <c r="U104" s="810">
        <v>1744</v>
      </c>
      <c r="V104" s="815">
        <v>0</v>
      </c>
      <c r="W104" s="810">
        <v>2624.15</v>
      </c>
      <c r="X104" s="815">
        <v>0</v>
      </c>
      <c r="Y104" s="810">
        <v>1768.2</v>
      </c>
      <c r="Z104" s="815">
        <v>0</v>
      </c>
      <c r="AA104" s="404">
        <f t="shared" si="14"/>
        <v>27406.690000000006</v>
      </c>
      <c r="AB104" s="404">
        <f t="shared" si="15"/>
        <v>0</v>
      </c>
      <c r="AC104" s="959"/>
    </row>
    <row r="105" spans="1:29" ht="21.95" customHeight="1" thickTop="1" thickBot="1" x14ac:dyDescent="0.35">
      <c r="A105" s="1530" t="s">
        <v>867</v>
      </c>
      <c r="B105" s="1531"/>
      <c r="C105" s="408">
        <v>0</v>
      </c>
      <c r="D105" s="788">
        <v>0</v>
      </c>
      <c r="E105" s="848">
        <v>0</v>
      </c>
      <c r="F105" s="788">
        <v>0</v>
      </c>
      <c r="G105" s="848">
        <v>0</v>
      </c>
      <c r="H105" s="788">
        <v>0</v>
      </c>
      <c r="I105" s="848">
        <v>0</v>
      </c>
      <c r="J105" s="788">
        <v>0</v>
      </c>
      <c r="K105" s="848">
        <v>0</v>
      </c>
      <c r="L105" s="788">
        <v>0</v>
      </c>
      <c r="M105" s="848">
        <v>0</v>
      </c>
      <c r="N105" s="788">
        <v>0</v>
      </c>
      <c r="O105" s="848">
        <v>0</v>
      </c>
      <c r="P105" s="804">
        <v>0</v>
      </c>
      <c r="Q105" s="848">
        <v>0</v>
      </c>
      <c r="R105" s="804">
        <v>0</v>
      </c>
      <c r="S105" s="848">
        <v>0</v>
      </c>
      <c r="T105" s="804">
        <v>0</v>
      </c>
      <c r="U105" s="848">
        <v>0</v>
      </c>
      <c r="V105" s="804">
        <v>0</v>
      </c>
      <c r="W105" s="848">
        <v>0</v>
      </c>
      <c r="X105" s="804">
        <v>0</v>
      </c>
      <c r="Y105" s="848">
        <v>0</v>
      </c>
      <c r="Z105" s="804">
        <v>0</v>
      </c>
      <c r="AA105" s="404">
        <f t="shared" si="14"/>
        <v>0</v>
      </c>
      <c r="AB105" s="404">
        <f t="shared" si="15"/>
        <v>0</v>
      </c>
      <c r="AC105" s="959"/>
    </row>
    <row r="106" spans="1:29" ht="21.95" customHeight="1" thickTop="1" thickBot="1" x14ac:dyDescent="0.35">
      <c r="A106" s="1530" t="s">
        <v>687</v>
      </c>
      <c r="B106" s="1531"/>
      <c r="C106" s="408">
        <v>0</v>
      </c>
      <c r="D106" s="788">
        <v>0</v>
      </c>
      <c r="E106" s="848">
        <v>0</v>
      </c>
      <c r="F106" s="788">
        <v>0</v>
      </c>
      <c r="G106" s="848">
        <v>0</v>
      </c>
      <c r="H106" s="788">
        <v>0</v>
      </c>
      <c r="I106" s="848">
        <v>0</v>
      </c>
      <c r="J106" s="788">
        <v>0</v>
      </c>
      <c r="K106" s="848">
        <v>0</v>
      </c>
      <c r="L106" s="788">
        <v>0</v>
      </c>
      <c r="M106" s="848">
        <v>0</v>
      </c>
      <c r="N106" s="788">
        <v>0</v>
      </c>
      <c r="O106" s="848">
        <v>0</v>
      </c>
      <c r="P106" s="804">
        <v>0</v>
      </c>
      <c r="Q106" s="848">
        <v>0</v>
      </c>
      <c r="R106" s="804">
        <v>0</v>
      </c>
      <c r="S106" s="848">
        <v>0</v>
      </c>
      <c r="T106" s="804">
        <v>0</v>
      </c>
      <c r="U106" s="848">
        <v>0</v>
      </c>
      <c r="V106" s="804">
        <v>0</v>
      </c>
      <c r="W106" s="848">
        <v>0</v>
      </c>
      <c r="X106" s="804">
        <v>0</v>
      </c>
      <c r="Y106" s="848">
        <v>0</v>
      </c>
      <c r="Z106" s="804">
        <v>0</v>
      </c>
      <c r="AA106" s="404">
        <f t="shared" si="14"/>
        <v>0</v>
      </c>
      <c r="AB106" s="404">
        <f t="shared" si="15"/>
        <v>0</v>
      </c>
      <c r="AC106" s="959"/>
    </row>
    <row r="107" spans="1:29" ht="21.95" customHeight="1" thickTop="1" thickBot="1" x14ac:dyDescent="0.35">
      <c r="A107" s="1530" t="s">
        <v>868</v>
      </c>
      <c r="B107" s="1531"/>
      <c r="C107" s="405">
        <v>0</v>
      </c>
      <c r="D107" s="777">
        <v>0</v>
      </c>
      <c r="E107" s="811">
        <v>78.75</v>
      </c>
      <c r="F107" s="777">
        <v>0</v>
      </c>
      <c r="G107" s="811">
        <v>184.58</v>
      </c>
      <c r="H107" s="777">
        <v>0</v>
      </c>
      <c r="I107" s="811">
        <v>0</v>
      </c>
      <c r="J107" s="777">
        <v>0</v>
      </c>
      <c r="K107" s="811">
        <v>11.95</v>
      </c>
      <c r="L107" s="777">
        <v>0</v>
      </c>
      <c r="M107" s="811">
        <v>0</v>
      </c>
      <c r="N107" s="777">
        <v>0</v>
      </c>
      <c r="O107" s="811">
        <v>95.36</v>
      </c>
      <c r="P107" s="803">
        <v>0</v>
      </c>
      <c r="Q107" s="811">
        <v>0</v>
      </c>
      <c r="R107" s="803">
        <v>0</v>
      </c>
      <c r="S107" s="811">
        <v>0</v>
      </c>
      <c r="T107" s="803">
        <v>0</v>
      </c>
      <c r="U107" s="811">
        <v>0</v>
      </c>
      <c r="V107" s="803">
        <v>0</v>
      </c>
      <c r="W107" s="811">
        <v>30</v>
      </c>
      <c r="X107" s="803">
        <v>0</v>
      </c>
      <c r="Y107" s="811">
        <v>260.98</v>
      </c>
      <c r="Z107" s="803">
        <v>0</v>
      </c>
      <c r="AA107" s="404">
        <f t="shared" si="14"/>
        <v>661.62000000000012</v>
      </c>
      <c r="AB107" s="404">
        <f t="shared" si="15"/>
        <v>0</v>
      </c>
      <c r="AC107" s="959"/>
    </row>
    <row r="108" spans="1:29" ht="21.95" customHeight="1" thickTop="1" thickBot="1" x14ac:dyDescent="0.35">
      <c r="A108" s="1530" t="s">
        <v>869</v>
      </c>
      <c r="B108" s="1531"/>
      <c r="C108" s="408">
        <v>0</v>
      </c>
      <c r="D108" s="788">
        <v>0</v>
      </c>
      <c r="E108" s="848">
        <v>0</v>
      </c>
      <c r="F108" s="788">
        <v>0</v>
      </c>
      <c r="G108" s="848">
        <v>0</v>
      </c>
      <c r="H108" s="788">
        <v>0</v>
      </c>
      <c r="I108" s="848">
        <v>0</v>
      </c>
      <c r="J108" s="788">
        <v>0</v>
      </c>
      <c r="K108" s="848">
        <v>0</v>
      </c>
      <c r="L108" s="788">
        <v>0</v>
      </c>
      <c r="M108" s="848">
        <v>0</v>
      </c>
      <c r="N108" s="788">
        <v>0</v>
      </c>
      <c r="O108" s="848">
        <v>0</v>
      </c>
      <c r="P108" s="804">
        <v>0</v>
      </c>
      <c r="Q108" s="848">
        <v>0</v>
      </c>
      <c r="R108" s="804">
        <v>0</v>
      </c>
      <c r="S108" s="848">
        <v>0</v>
      </c>
      <c r="T108" s="804">
        <v>0</v>
      </c>
      <c r="U108" s="848">
        <v>0</v>
      </c>
      <c r="V108" s="804">
        <v>0</v>
      </c>
      <c r="W108" s="848">
        <v>0</v>
      </c>
      <c r="X108" s="804">
        <v>0</v>
      </c>
      <c r="Y108" s="848">
        <v>0</v>
      </c>
      <c r="Z108" s="804">
        <v>0</v>
      </c>
      <c r="AA108" s="404">
        <f t="shared" si="14"/>
        <v>0</v>
      </c>
      <c r="AB108" s="404">
        <f t="shared" si="15"/>
        <v>0</v>
      </c>
      <c r="AC108" s="959"/>
    </row>
    <row r="109" spans="1:29" ht="21.95" customHeight="1" thickTop="1" thickBot="1" x14ac:dyDescent="0.35">
      <c r="A109" s="1530" t="s">
        <v>902</v>
      </c>
      <c r="B109" s="1531"/>
      <c r="C109" s="788">
        <v>600</v>
      </c>
      <c r="D109" s="1284">
        <v>0</v>
      </c>
      <c r="E109" s="1285">
        <v>900</v>
      </c>
      <c r="F109" s="1284">
        <v>0</v>
      </c>
      <c r="G109" s="1285">
        <v>750</v>
      </c>
      <c r="H109" s="1284">
        <v>0</v>
      </c>
      <c r="I109" s="1285">
        <v>1188</v>
      </c>
      <c r="J109" s="1284">
        <v>0</v>
      </c>
      <c r="K109" s="1285">
        <v>652.5</v>
      </c>
      <c r="L109" s="1284">
        <v>0</v>
      </c>
      <c r="M109" s="1285">
        <v>2417.41</v>
      </c>
      <c r="N109" s="1284">
        <v>0</v>
      </c>
      <c r="O109" s="1285">
        <v>1892.95</v>
      </c>
      <c r="P109" s="1286">
        <v>0</v>
      </c>
      <c r="Q109" s="1285">
        <v>471.81</v>
      </c>
      <c r="R109" s="1286">
        <v>0</v>
      </c>
      <c r="S109" s="1285">
        <v>5870.42</v>
      </c>
      <c r="T109" s="1286">
        <v>0</v>
      </c>
      <c r="U109" s="1285">
        <v>875</v>
      </c>
      <c r="V109" s="1286">
        <v>0</v>
      </c>
      <c r="W109" s="1285">
        <v>2260.63</v>
      </c>
      <c r="X109" s="1286">
        <v>0</v>
      </c>
      <c r="Y109" s="1285">
        <v>2504.9299999999998</v>
      </c>
      <c r="Z109" s="1286">
        <v>0</v>
      </c>
      <c r="AA109" s="404">
        <f t="shared" si="14"/>
        <v>20383.650000000001</v>
      </c>
      <c r="AB109" s="404">
        <f t="shared" si="15"/>
        <v>0</v>
      </c>
      <c r="AC109" s="959"/>
    </row>
    <row r="110" spans="1:29" ht="21.95" customHeight="1" thickTop="1" thickBot="1" x14ac:dyDescent="0.35">
      <c r="A110" s="1530" t="s">
        <v>870</v>
      </c>
      <c r="B110" s="1531"/>
      <c r="C110" s="405">
        <v>0</v>
      </c>
      <c r="D110" s="777">
        <v>0</v>
      </c>
      <c r="E110" s="811">
        <v>0</v>
      </c>
      <c r="F110" s="777">
        <v>0</v>
      </c>
      <c r="G110" s="811">
        <v>0</v>
      </c>
      <c r="H110" s="777">
        <v>0</v>
      </c>
      <c r="I110" s="811">
        <v>0</v>
      </c>
      <c r="J110" s="777">
        <v>0</v>
      </c>
      <c r="K110" s="811">
        <v>128.75</v>
      </c>
      <c r="L110" s="777">
        <v>0</v>
      </c>
      <c r="M110" s="811">
        <v>0</v>
      </c>
      <c r="N110" s="777">
        <v>0</v>
      </c>
      <c r="O110" s="811">
        <v>0</v>
      </c>
      <c r="P110" s="803">
        <v>0</v>
      </c>
      <c r="Q110" s="811">
        <v>0</v>
      </c>
      <c r="R110" s="803">
        <v>0</v>
      </c>
      <c r="S110" s="811">
        <v>0</v>
      </c>
      <c r="T110" s="803">
        <v>0</v>
      </c>
      <c r="U110" s="811">
        <v>0</v>
      </c>
      <c r="V110" s="803">
        <v>0</v>
      </c>
      <c r="W110" s="811">
        <v>0</v>
      </c>
      <c r="X110" s="803">
        <v>0</v>
      </c>
      <c r="Y110" s="811">
        <v>0</v>
      </c>
      <c r="Z110" s="803">
        <v>0</v>
      </c>
      <c r="AA110" s="404">
        <f t="shared" si="14"/>
        <v>128.75</v>
      </c>
      <c r="AB110" s="404">
        <f t="shared" si="15"/>
        <v>0</v>
      </c>
      <c r="AC110" s="959"/>
    </row>
    <row r="111" spans="1:29" ht="21.95" customHeight="1" thickTop="1" thickBot="1" x14ac:dyDescent="0.35">
      <c r="A111" s="1530" t="s">
        <v>871</v>
      </c>
      <c r="B111" s="1531"/>
      <c r="C111" s="659">
        <v>0</v>
      </c>
      <c r="D111" s="789">
        <v>0</v>
      </c>
      <c r="E111" s="849">
        <v>0</v>
      </c>
      <c r="F111" s="789">
        <v>0</v>
      </c>
      <c r="G111" s="849">
        <v>0</v>
      </c>
      <c r="H111" s="789">
        <v>0</v>
      </c>
      <c r="I111" s="849">
        <v>0</v>
      </c>
      <c r="J111" s="789">
        <v>0</v>
      </c>
      <c r="K111" s="849">
        <v>0</v>
      </c>
      <c r="L111" s="789">
        <v>0</v>
      </c>
      <c r="M111" s="849">
        <v>0</v>
      </c>
      <c r="N111" s="789">
        <v>0</v>
      </c>
      <c r="O111" s="849">
        <v>0</v>
      </c>
      <c r="P111" s="852">
        <v>0</v>
      </c>
      <c r="Q111" s="849">
        <v>0</v>
      </c>
      <c r="R111" s="852">
        <v>0</v>
      </c>
      <c r="S111" s="849">
        <v>0</v>
      </c>
      <c r="T111" s="852">
        <v>0</v>
      </c>
      <c r="U111" s="849">
        <v>0</v>
      </c>
      <c r="V111" s="852">
        <v>0</v>
      </c>
      <c r="W111" s="849">
        <v>0</v>
      </c>
      <c r="X111" s="852">
        <v>0</v>
      </c>
      <c r="Y111" s="849">
        <v>0</v>
      </c>
      <c r="Z111" s="852">
        <v>0</v>
      </c>
      <c r="AA111" s="404">
        <f t="shared" si="14"/>
        <v>0</v>
      </c>
      <c r="AB111" s="404">
        <f t="shared" si="15"/>
        <v>0</v>
      </c>
      <c r="AC111" s="959"/>
    </row>
    <row r="112" spans="1:29" ht="21.95" customHeight="1" thickTop="1" thickBot="1" x14ac:dyDescent="0.35">
      <c r="A112" s="1530" t="s">
        <v>872</v>
      </c>
      <c r="B112" s="1531"/>
      <c r="C112" s="405">
        <v>0</v>
      </c>
      <c r="D112" s="777">
        <v>0</v>
      </c>
      <c r="E112" s="811">
        <v>0</v>
      </c>
      <c r="F112" s="777">
        <v>0</v>
      </c>
      <c r="G112" s="811">
        <v>0</v>
      </c>
      <c r="H112" s="777">
        <v>0</v>
      </c>
      <c r="I112" s="811">
        <v>0</v>
      </c>
      <c r="J112" s="777">
        <v>0</v>
      </c>
      <c r="K112" s="811">
        <v>0</v>
      </c>
      <c r="L112" s="777">
        <v>0</v>
      </c>
      <c r="M112" s="811">
        <v>0</v>
      </c>
      <c r="N112" s="777">
        <v>0</v>
      </c>
      <c r="O112" s="811">
        <v>0</v>
      </c>
      <c r="P112" s="803">
        <v>0</v>
      </c>
      <c r="Q112" s="811">
        <v>0</v>
      </c>
      <c r="R112" s="803">
        <v>0</v>
      </c>
      <c r="S112" s="811">
        <v>0</v>
      </c>
      <c r="T112" s="803">
        <v>0</v>
      </c>
      <c r="U112" s="811">
        <v>0</v>
      </c>
      <c r="V112" s="803">
        <v>0</v>
      </c>
      <c r="W112" s="811">
        <v>0</v>
      </c>
      <c r="X112" s="803">
        <v>0</v>
      </c>
      <c r="Y112" s="811">
        <v>0</v>
      </c>
      <c r="Z112" s="803">
        <v>0</v>
      </c>
      <c r="AA112" s="404">
        <f t="shared" si="14"/>
        <v>0</v>
      </c>
      <c r="AB112" s="404">
        <f t="shared" si="15"/>
        <v>0</v>
      </c>
      <c r="AC112" s="959"/>
    </row>
    <row r="113" spans="1:29" ht="21.95" customHeight="1" thickTop="1" thickBot="1" x14ac:dyDescent="0.35">
      <c r="A113" s="1530" t="s">
        <v>873</v>
      </c>
      <c r="B113" s="1531"/>
      <c r="C113" s="408">
        <v>0</v>
      </c>
      <c r="D113" s="788">
        <v>0</v>
      </c>
      <c r="E113" s="848">
        <v>0</v>
      </c>
      <c r="F113" s="788">
        <v>0</v>
      </c>
      <c r="G113" s="848">
        <v>0</v>
      </c>
      <c r="H113" s="788">
        <v>0</v>
      </c>
      <c r="I113" s="848">
        <v>0</v>
      </c>
      <c r="J113" s="788">
        <v>0</v>
      </c>
      <c r="K113" s="848">
        <v>0</v>
      </c>
      <c r="L113" s="788">
        <v>0</v>
      </c>
      <c r="M113" s="848">
        <v>0</v>
      </c>
      <c r="N113" s="788">
        <v>0</v>
      </c>
      <c r="O113" s="848">
        <v>0</v>
      </c>
      <c r="P113" s="804">
        <v>0</v>
      </c>
      <c r="Q113" s="848">
        <v>0</v>
      </c>
      <c r="R113" s="804">
        <v>0</v>
      </c>
      <c r="S113" s="848">
        <v>0</v>
      </c>
      <c r="T113" s="804">
        <v>0</v>
      </c>
      <c r="U113" s="848">
        <v>0</v>
      </c>
      <c r="V113" s="804">
        <v>0</v>
      </c>
      <c r="W113" s="848">
        <v>0</v>
      </c>
      <c r="X113" s="804">
        <v>0</v>
      </c>
      <c r="Y113" s="848">
        <v>0</v>
      </c>
      <c r="Z113" s="804">
        <v>0</v>
      </c>
      <c r="AA113" s="404">
        <f t="shared" si="14"/>
        <v>0</v>
      </c>
      <c r="AB113" s="404">
        <f t="shared" si="15"/>
        <v>0</v>
      </c>
      <c r="AC113" s="959"/>
    </row>
    <row r="114" spans="1:29" ht="21.95" customHeight="1" thickTop="1" thickBot="1" x14ac:dyDescent="0.35">
      <c r="A114" s="1530" t="s">
        <v>874</v>
      </c>
      <c r="B114" s="1531"/>
      <c r="C114" s="405">
        <v>0</v>
      </c>
      <c r="D114" s="777">
        <v>0</v>
      </c>
      <c r="E114" s="811">
        <v>0</v>
      </c>
      <c r="F114" s="777">
        <v>0</v>
      </c>
      <c r="G114" s="811">
        <v>0</v>
      </c>
      <c r="H114" s="777">
        <v>0</v>
      </c>
      <c r="I114" s="811">
        <v>0</v>
      </c>
      <c r="J114" s="777">
        <v>0</v>
      </c>
      <c r="K114" s="811">
        <v>0</v>
      </c>
      <c r="L114" s="777">
        <v>0</v>
      </c>
      <c r="M114" s="811">
        <v>0</v>
      </c>
      <c r="N114" s="777">
        <v>0</v>
      </c>
      <c r="O114" s="811">
        <v>0</v>
      </c>
      <c r="P114" s="803">
        <v>0</v>
      </c>
      <c r="Q114" s="811">
        <v>0</v>
      </c>
      <c r="R114" s="803">
        <v>0</v>
      </c>
      <c r="S114" s="811">
        <v>0</v>
      </c>
      <c r="T114" s="803">
        <v>0</v>
      </c>
      <c r="U114" s="811">
        <v>0</v>
      </c>
      <c r="V114" s="803">
        <v>0</v>
      </c>
      <c r="W114" s="811">
        <v>0</v>
      </c>
      <c r="X114" s="803">
        <v>0</v>
      </c>
      <c r="Y114" s="811">
        <v>0</v>
      </c>
      <c r="Z114" s="803">
        <v>0</v>
      </c>
      <c r="AA114" s="404">
        <f t="shared" si="14"/>
        <v>0</v>
      </c>
      <c r="AB114" s="404">
        <f t="shared" si="15"/>
        <v>0</v>
      </c>
      <c r="AC114" s="959"/>
    </row>
    <row r="115" spans="1:29" ht="21.95" customHeight="1" thickTop="1" thickBot="1" x14ac:dyDescent="0.35">
      <c r="A115" s="1530" t="s">
        <v>1017</v>
      </c>
      <c r="B115" s="1531"/>
      <c r="C115" s="408">
        <v>8127.55</v>
      </c>
      <c r="D115" s="788">
        <v>0</v>
      </c>
      <c r="E115" s="848">
        <v>9859.23</v>
      </c>
      <c r="F115" s="788">
        <v>0</v>
      </c>
      <c r="G115" s="848">
        <v>9376.94</v>
      </c>
      <c r="H115" s="788">
        <v>0</v>
      </c>
      <c r="I115" s="848">
        <v>10687.02</v>
      </c>
      <c r="J115" s="788">
        <v>0</v>
      </c>
      <c r="K115" s="848">
        <v>12932.21</v>
      </c>
      <c r="L115" s="788">
        <v>0</v>
      </c>
      <c r="M115" s="848">
        <v>13919.91</v>
      </c>
      <c r="N115" s="788">
        <v>0</v>
      </c>
      <c r="O115" s="848">
        <v>9086.9599999999991</v>
      </c>
      <c r="P115" s="804">
        <v>0</v>
      </c>
      <c r="Q115" s="848">
        <v>606.55999999999995</v>
      </c>
      <c r="R115" s="804">
        <v>0</v>
      </c>
      <c r="S115" s="848">
        <v>13532.46</v>
      </c>
      <c r="T115" s="804">
        <v>0</v>
      </c>
      <c r="U115" s="848">
        <v>8370.23</v>
      </c>
      <c r="V115" s="804">
        <v>0</v>
      </c>
      <c r="W115" s="848">
        <v>6121.39</v>
      </c>
      <c r="X115" s="804">
        <v>0</v>
      </c>
      <c r="Y115" s="848">
        <v>7112.92</v>
      </c>
      <c r="Z115" s="804">
        <v>0</v>
      </c>
      <c r="AA115" s="404">
        <f t="shared" si="14"/>
        <v>109733.37999999999</v>
      </c>
      <c r="AB115" s="404">
        <f t="shared" si="15"/>
        <v>0</v>
      </c>
      <c r="AC115" s="959"/>
    </row>
    <row r="116" spans="1:29" ht="21.95" customHeight="1" thickTop="1" thickBot="1" x14ac:dyDescent="0.3">
      <c r="A116" s="1609" t="s">
        <v>875</v>
      </c>
      <c r="B116" s="1610"/>
      <c r="C116" s="405">
        <v>0</v>
      </c>
      <c r="D116" s="777">
        <v>0</v>
      </c>
      <c r="E116" s="811">
        <v>0</v>
      </c>
      <c r="F116" s="777">
        <v>0</v>
      </c>
      <c r="G116" s="811">
        <v>0</v>
      </c>
      <c r="H116" s="777">
        <v>0</v>
      </c>
      <c r="I116" s="811">
        <v>0</v>
      </c>
      <c r="J116" s="777">
        <v>0</v>
      </c>
      <c r="K116" s="811">
        <v>0</v>
      </c>
      <c r="L116" s="777">
        <v>0</v>
      </c>
      <c r="M116" s="811">
        <v>0</v>
      </c>
      <c r="N116" s="777">
        <v>0</v>
      </c>
      <c r="O116" s="811">
        <v>0</v>
      </c>
      <c r="P116" s="803">
        <v>0</v>
      </c>
      <c r="Q116" s="811">
        <v>0</v>
      </c>
      <c r="R116" s="803">
        <v>0</v>
      </c>
      <c r="S116" s="811">
        <v>0</v>
      </c>
      <c r="T116" s="803">
        <v>0</v>
      </c>
      <c r="U116" s="811">
        <v>0</v>
      </c>
      <c r="V116" s="803">
        <v>0</v>
      </c>
      <c r="W116" s="811">
        <v>0</v>
      </c>
      <c r="X116" s="803">
        <v>0</v>
      </c>
      <c r="Y116" s="811">
        <v>0</v>
      </c>
      <c r="Z116" s="803">
        <v>0</v>
      </c>
      <c r="AA116" s="404">
        <f t="shared" si="14"/>
        <v>0</v>
      </c>
      <c r="AB116" s="404">
        <f t="shared" si="15"/>
        <v>0</v>
      </c>
      <c r="AC116" s="959"/>
    </row>
    <row r="117" spans="1:29" ht="21.95" customHeight="1" thickTop="1" thickBot="1" x14ac:dyDescent="0.3">
      <c r="A117" s="1609" t="s">
        <v>880</v>
      </c>
      <c r="B117" s="1610"/>
      <c r="C117" s="408">
        <v>0</v>
      </c>
      <c r="D117" s="788">
        <v>0</v>
      </c>
      <c r="E117" s="848">
        <v>0</v>
      </c>
      <c r="F117" s="788">
        <v>0</v>
      </c>
      <c r="G117" s="848">
        <v>0</v>
      </c>
      <c r="H117" s="788">
        <v>0</v>
      </c>
      <c r="I117" s="848">
        <v>0</v>
      </c>
      <c r="J117" s="788">
        <v>0</v>
      </c>
      <c r="K117" s="848">
        <v>0</v>
      </c>
      <c r="L117" s="788">
        <v>0</v>
      </c>
      <c r="M117" s="848">
        <v>0</v>
      </c>
      <c r="N117" s="788">
        <v>0</v>
      </c>
      <c r="O117" s="848">
        <v>0</v>
      </c>
      <c r="P117" s="804">
        <v>0</v>
      </c>
      <c r="Q117" s="848">
        <v>0</v>
      </c>
      <c r="R117" s="804">
        <v>0</v>
      </c>
      <c r="S117" s="848">
        <v>0</v>
      </c>
      <c r="T117" s="804">
        <v>0</v>
      </c>
      <c r="U117" s="848">
        <v>0</v>
      </c>
      <c r="V117" s="804">
        <v>0</v>
      </c>
      <c r="W117" s="848">
        <v>0</v>
      </c>
      <c r="X117" s="804">
        <v>0</v>
      </c>
      <c r="Y117" s="848">
        <v>0</v>
      </c>
      <c r="Z117" s="804">
        <v>0</v>
      </c>
      <c r="AA117" s="404">
        <f t="shared" si="14"/>
        <v>0</v>
      </c>
      <c r="AB117" s="404">
        <f t="shared" si="15"/>
        <v>0</v>
      </c>
      <c r="AC117" s="959"/>
    </row>
    <row r="118" spans="1:29" ht="21.95" customHeight="1" thickTop="1" thickBot="1" x14ac:dyDescent="0.3">
      <c r="A118" s="1609" t="s">
        <v>881</v>
      </c>
      <c r="B118" s="1610"/>
      <c r="C118" s="405">
        <v>0</v>
      </c>
      <c r="D118" s="777">
        <v>0</v>
      </c>
      <c r="E118" s="811">
        <v>0</v>
      </c>
      <c r="F118" s="777">
        <v>0</v>
      </c>
      <c r="G118" s="811">
        <v>0</v>
      </c>
      <c r="H118" s="777">
        <v>0</v>
      </c>
      <c r="I118" s="811">
        <v>0</v>
      </c>
      <c r="J118" s="777">
        <v>0</v>
      </c>
      <c r="K118" s="811">
        <v>0</v>
      </c>
      <c r="L118" s="777">
        <v>0</v>
      </c>
      <c r="M118" s="811">
        <v>0</v>
      </c>
      <c r="N118" s="777">
        <v>0</v>
      </c>
      <c r="O118" s="811">
        <v>0</v>
      </c>
      <c r="P118" s="803">
        <v>0</v>
      </c>
      <c r="Q118" s="811">
        <v>0</v>
      </c>
      <c r="R118" s="803">
        <v>0</v>
      </c>
      <c r="S118" s="811">
        <v>0</v>
      </c>
      <c r="T118" s="803">
        <v>0</v>
      </c>
      <c r="U118" s="811">
        <v>0</v>
      </c>
      <c r="V118" s="803">
        <v>0</v>
      </c>
      <c r="W118" s="811">
        <v>0</v>
      </c>
      <c r="X118" s="803">
        <v>0</v>
      </c>
      <c r="Y118" s="811">
        <v>0</v>
      </c>
      <c r="Z118" s="803">
        <v>0</v>
      </c>
      <c r="AA118" s="404">
        <f t="shared" si="14"/>
        <v>0</v>
      </c>
      <c r="AB118" s="404">
        <f t="shared" si="15"/>
        <v>0</v>
      </c>
      <c r="AC118" s="959"/>
    </row>
    <row r="119" spans="1:29" ht="21.95" customHeight="1" thickTop="1" thickBot="1" x14ac:dyDescent="0.3">
      <c r="A119" s="1609" t="s">
        <v>876</v>
      </c>
      <c r="B119" s="1610"/>
      <c r="C119" s="408">
        <v>0</v>
      </c>
      <c r="D119" s="788">
        <v>0</v>
      </c>
      <c r="E119" s="848">
        <v>0</v>
      </c>
      <c r="F119" s="788">
        <v>0</v>
      </c>
      <c r="G119" s="848">
        <v>0</v>
      </c>
      <c r="H119" s="788">
        <v>0</v>
      </c>
      <c r="I119" s="848">
        <v>0</v>
      </c>
      <c r="J119" s="788">
        <v>0</v>
      </c>
      <c r="K119" s="848">
        <v>0</v>
      </c>
      <c r="L119" s="788">
        <v>0</v>
      </c>
      <c r="M119" s="848">
        <v>0</v>
      </c>
      <c r="N119" s="788">
        <v>0</v>
      </c>
      <c r="O119" s="848">
        <v>0</v>
      </c>
      <c r="P119" s="804">
        <v>0</v>
      </c>
      <c r="Q119" s="848">
        <v>0</v>
      </c>
      <c r="R119" s="804">
        <v>0</v>
      </c>
      <c r="S119" s="848">
        <v>0</v>
      </c>
      <c r="T119" s="804">
        <v>0</v>
      </c>
      <c r="U119" s="848">
        <v>0</v>
      </c>
      <c r="V119" s="804">
        <v>0</v>
      </c>
      <c r="W119" s="848">
        <v>0</v>
      </c>
      <c r="X119" s="804">
        <v>0</v>
      </c>
      <c r="Y119" s="848">
        <v>0</v>
      </c>
      <c r="Z119" s="804">
        <v>0</v>
      </c>
      <c r="AA119" s="404">
        <f t="shared" si="14"/>
        <v>0</v>
      </c>
      <c r="AB119" s="404">
        <f t="shared" si="15"/>
        <v>0</v>
      </c>
      <c r="AC119" s="959"/>
    </row>
    <row r="120" spans="1:29" ht="21.95" customHeight="1" thickTop="1" thickBot="1" x14ac:dyDescent="0.3">
      <c r="A120" s="1609" t="s">
        <v>877</v>
      </c>
      <c r="B120" s="1610"/>
      <c r="C120" s="405">
        <v>0</v>
      </c>
      <c r="D120" s="777">
        <v>0</v>
      </c>
      <c r="E120" s="811">
        <v>0</v>
      </c>
      <c r="F120" s="777">
        <v>0</v>
      </c>
      <c r="G120" s="811">
        <v>0</v>
      </c>
      <c r="H120" s="777">
        <v>0</v>
      </c>
      <c r="I120" s="811">
        <v>0</v>
      </c>
      <c r="J120" s="777">
        <v>0</v>
      </c>
      <c r="K120" s="811">
        <v>0</v>
      </c>
      <c r="L120" s="777">
        <v>0</v>
      </c>
      <c r="M120" s="811">
        <v>0</v>
      </c>
      <c r="N120" s="777">
        <v>0</v>
      </c>
      <c r="O120" s="811">
        <v>0</v>
      </c>
      <c r="P120" s="803">
        <v>0</v>
      </c>
      <c r="Q120" s="811">
        <v>0</v>
      </c>
      <c r="R120" s="803">
        <v>0</v>
      </c>
      <c r="S120" s="811">
        <v>0</v>
      </c>
      <c r="T120" s="803">
        <v>0</v>
      </c>
      <c r="U120" s="811">
        <v>0</v>
      </c>
      <c r="V120" s="803">
        <v>0</v>
      </c>
      <c r="W120" s="811">
        <v>0</v>
      </c>
      <c r="X120" s="803">
        <v>0</v>
      </c>
      <c r="Y120" s="811">
        <v>0</v>
      </c>
      <c r="Z120" s="803">
        <v>0</v>
      </c>
      <c r="AA120" s="404">
        <f t="shared" si="14"/>
        <v>0</v>
      </c>
      <c r="AB120" s="404">
        <f t="shared" si="15"/>
        <v>0</v>
      </c>
      <c r="AC120" s="959"/>
    </row>
    <row r="121" spans="1:29" ht="21.95" customHeight="1" thickTop="1" thickBot="1" x14ac:dyDescent="0.35">
      <c r="A121" s="1530" t="s">
        <v>878</v>
      </c>
      <c r="B121" s="1531"/>
      <c r="C121" s="408">
        <v>670</v>
      </c>
      <c r="D121" s="788">
        <v>0</v>
      </c>
      <c r="E121" s="848">
        <v>3868.96</v>
      </c>
      <c r="F121" s="788">
        <v>0</v>
      </c>
      <c r="G121" s="848">
        <v>0</v>
      </c>
      <c r="H121" s="788">
        <v>0</v>
      </c>
      <c r="I121" s="848">
        <v>1934.48</v>
      </c>
      <c r="J121" s="788">
        <v>0</v>
      </c>
      <c r="K121" s="848">
        <v>0</v>
      </c>
      <c r="L121" s="788">
        <v>0</v>
      </c>
      <c r="M121" s="848">
        <v>0</v>
      </c>
      <c r="N121" s="788">
        <v>0</v>
      </c>
      <c r="O121" s="848">
        <v>0</v>
      </c>
      <c r="P121" s="804">
        <v>0</v>
      </c>
      <c r="Q121" s="848">
        <v>0</v>
      </c>
      <c r="R121" s="804">
        <v>0</v>
      </c>
      <c r="S121" s="848">
        <v>0</v>
      </c>
      <c r="T121" s="804">
        <v>0</v>
      </c>
      <c r="U121" s="848">
        <v>0</v>
      </c>
      <c r="V121" s="804">
        <v>0</v>
      </c>
      <c r="W121" s="848">
        <v>0</v>
      </c>
      <c r="X121" s="804">
        <v>0</v>
      </c>
      <c r="Y121" s="848">
        <v>0</v>
      </c>
      <c r="Z121" s="804">
        <v>0</v>
      </c>
      <c r="AA121" s="404">
        <f t="shared" si="14"/>
        <v>6473.4400000000005</v>
      </c>
      <c r="AB121" s="404">
        <f t="shared" si="15"/>
        <v>0</v>
      </c>
      <c r="AC121" s="959"/>
    </row>
    <row r="122" spans="1:29" ht="21.95" customHeight="1" thickTop="1" thickBot="1" x14ac:dyDescent="0.35">
      <c r="A122" s="1530" t="s">
        <v>1022</v>
      </c>
      <c r="B122" s="1531"/>
      <c r="C122" s="405">
        <v>0</v>
      </c>
      <c r="D122" s="777">
        <v>0</v>
      </c>
      <c r="E122" s="811">
        <v>1288.49</v>
      </c>
      <c r="F122" s="777">
        <v>0</v>
      </c>
      <c r="G122" s="811">
        <v>0</v>
      </c>
      <c r="H122" s="777">
        <v>0</v>
      </c>
      <c r="I122" s="811">
        <v>504.81</v>
      </c>
      <c r="J122" s="777">
        <v>0</v>
      </c>
      <c r="K122" s="811">
        <v>227.52</v>
      </c>
      <c r="L122" s="777">
        <v>0</v>
      </c>
      <c r="M122" s="811">
        <v>732.33</v>
      </c>
      <c r="N122" s="777">
        <v>0</v>
      </c>
      <c r="O122" s="811">
        <v>231.47</v>
      </c>
      <c r="P122" s="803">
        <v>0</v>
      </c>
      <c r="Q122" s="811">
        <v>0</v>
      </c>
      <c r="R122" s="803">
        <v>0</v>
      </c>
      <c r="S122" s="811">
        <v>107.44</v>
      </c>
      <c r="T122" s="803">
        <v>0</v>
      </c>
      <c r="U122" s="811">
        <v>0</v>
      </c>
      <c r="V122" s="803">
        <v>0</v>
      </c>
      <c r="W122" s="811">
        <v>0</v>
      </c>
      <c r="X122" s="803">
        <v>0</v>
      </c>
      <c r="Y122" s="811">
        <v>0</v>
      </c>
      <c r="Z122" s="803">
        <v>0</v>
      </c>
      <c r="AA122" s="404">
        <f t="shared" si="14"/>
        <v>3092.06</v>
      </c>
      <c r="AB122" s="404">
        <f t="shared" si="15"/>
        <v>0</v>
      </c>
      <c r="AC122" s="959"/>
    </row>
    <row r="123" spans="1:29" ht="21.95" customHeight="1" thickTop="1" thickBot="1" x14ac:dyDescent="0.35">
      <c r="A123" s="1530" t="s">
        <v>879</v>
      </c>
      <c r="B123" s="1531"/>
      <c r="C123" s="408">
        <v>1208.81</v>
      </c>
      <c r="D123" s="788">
        <v>0</v>
      </c>
      <c r="E123" s="848">
        <v>294.60000000000002</v>
      </c>
      <c r="F123" s="788">
        <v>0</v>
      </c>
      <c r="G123" s="848">
        <v>70.67</v>
      </c>
      <c r="H123" s="788">
        <v>0</v>
      </c>
      <c r="I123" s="848">
        <v>356.04</v>
      </c>
      <c r="J123" s="788">
        <v>0</v>
      </c>
      <c r="K123" s="848">
        <v>391.83</v>
      </c>
      <c r="L123" s="788">
        <v>0</v>
      </c>
      <c r="M123" s="848">
        <v>0</v>
      </c>
      <c r="N123" s="788">
        <v>0</v>
      </c>
      <c r="O123" s="848">
        <v>0</v>
      </c>
      <c r="P123" s="804">
        <v>0</v>
      </c>
      <c r="Q123" s="848">
        <v>468.8</v>
      </c>
      <c r="R123" s="804">
        <v>0</v>
      </c>
      <c r="S123" s="848">
        <v>959.49</v>
      </c>
      <c r="T123" s="804">
        <v>0</v>
      </c>
      <c r="U123" s="848">
        <v>0</v>
      </c>
      <c r="V123" s="804">
        <v>0</v>
      </c>
      <c r="W123" s="848">
        <v>835.18</v>
      </c>
      <c r="X123" s="804">
        <v>0</v>
      </c>
      <c r="Y123" s="848">
        <v>7.8</v>
      </c>
      <c r="Z123" s="804">
        <v>0</v>
      </c>
      <c r="AA123" s="404">
        <f t="shared" si="14"/>
        <v>4593.22</v>
      </c>
      <c r="AB123" s="404">
        <f t="shared" si="15"/>
        <v>0</v>
      </c>
      <c r="AC123" s="959"/>
    </row>
    <row r="124" spans="1:29" ht="21.95" customHeight="1" thickTop="1" thickBot="1" x14ac:dyDescent="0.35">
      <c r="A124" s="1530" t="s">
        <v>691</v>
      </c>
      <c r="B124" s="1531"/>
      <c r="C124" s="405">
        <v>0</v>
      </c>
      <c r="D124" s="777">
        <v>0</v>
      </c>
      <c r="E124" s="811">
        <v>0</v>
      </c>
      <c r="F124" s="777">
        <v>0</v>
      </c>
      <c r="G124" s="811">
        <v>0</v>
      </c>
      <c r="H124" s="777">
        <v>0</v>
      </c>
      <c r="I124" s="811">
        <v>0</v>
      </c>
      <c r="J124" s="777">
        <v>0</v>
      </c>
      <c r="K124" s="811">
        <v>0</v>
      </c>
      <c r="L124" s="777">
        <v>0</v>
      </c>
      <c r="M124" s="811">
        <v>0</v>
      </c>
      <c r="N124" s="777">
        <v>0</v>
      </c>
      <c r="O124" s="811">
        <v>2516.16</v>
      </c>
      <c r="P124" s="803">
        <v>0</v>
      </c>
      <c r="Q124" s="811">
        <v>0</v>
      </c>
      <c r="R124" s="803">
        <v>0</v>
      </c>
      <c r="S124" s="811">
        <v>2966.4</v>
      </c>
      <c r="T124" s="803">
        <v>0</v>
      </c>
      <c r="U124" s="811">
        <v>0</v>
      </c>
      <c r="V124" s="803">
        <v>0</v>
      </c>
      <c r="W124" s="811">
        <v>0</v>
      </c>
      <c r="X124" s="803">
        <v>0</v>
      </c>
      <c r="Y124" s="811">
        <v>0</v>
      </c>
      <c r="Z124" s="803">
        <v>0</v>
      </c>
      <c r="AA124" s="404">
        <f t="shared" si="14"/>
        <v>5482.5599999999995</v>
      </c>
      <c r="AB124" s="404">
        <f t="shared" si="15"/>
        <v>0</v>
      </c>
      <c r="AC124" s="959"/>
    </row>
    <row r="125" spans="1:29" ht="21.95" customHeight="1" thickTop="1" thickBot="1" x14ac:dyDescent="0.35">
      <c r="A125" s="1530" t="s">
        <v>882</v>
      </c>
      <c r="B125" s="1531"/>
      <c r="C125" s="408">
        <v>1607.51</v>
      </c>
      <c r="D125" s="788">
        <v>0</v>
      </c>
      <c r="E125" s="848">
        <v>0</v>
      </c>
      <c r="F125" s="788">
        <v>0</v>
      </c>
      <c r="G125" s="848">
        <v>3743.19</v>
      </c>
      <c r="H125" s="788">
        <v>0</v>
      </c>
      <c r="I125" s="848">
        <v>1666.12</v>
      </c>
      <c r="J125" s="788">
        <v>0</v>
      </c>
      <c r="K125" s="848">
        <v>1618.8</v>
      </c>
      <c r="L125" s="788">
        <v>0</v>
      </c>
      <c r="M125" s="848">
        <v>0</v>
      </c>
      <c r="N125" s="788">
        <v>0</v>
      </c>
      <c r="O125" s="848">
        <v>4048.43</v>
      </c>
      <c r="P125" s="804">
        <v>0</v>
      </c>
      <c r="Q125" s="848">
        <v>0</v>
      </c>
      <c r="R125" s="804">
        <v>0</v>
      </c>
      <c r="S125" s="848">
        <v>247.02</v>
      </c>
      <c r="T125" s="804">
        <v>0</v>
      </c>
      <c r="U125" s="848">
        <v>0</v>
      </c>
      <c r="V125" s="804">
        <v>0</v>
      </c>
      <c r="W125" s="848">
        <v>362.35</v>
      </c>
      <c r="X125" s="804">
        <v>0</v>
      </c>
      <c r="Y125" s="848">
        <v>866.69</v>
      </c>
      <c r="Z125" s="804">
        <v>0</v>
      </c>
      <c r="AA125" s="404">
        <f t="shared" si="14"/>
        <v>14160.11</v>
      </c>
      <c r="AB125" s="404">
        <f t="shared" si="15"/>
        <v>0</v>
      </c>
      <c r="AC125" s="959"/>
    </row>
    <row r="126" spans="1:29" ht="21.95" customHeight="1" thickTop="1" thickBot="1" x14ac:dyDescent="0.35">
      <c r="A126" s="1530" t="s">
        <v>903</v>
      </c>
      <c r="B126" s="1531"/>
      <c r="C126" s="1283">
        <v>0</v>
      </c>
      <c r="D126" s="1284">
        <v>0</v>
      </c>
      <c r="E126" s="1285">
        <v>0</v>
      </c>
      <c r="F126" s="1284">
        <v>0</v>
      </c>
      <c r="G126" s="1285">
        <v>0</v>
      </c>
      <c r="H126" s="1284">
        <v>0</v>
      </c>
      <c r="I126" s="1285">
        <v>0</v>
      </c>
      <c r="J126" s="1284">
        <v>0</v>
      </c>
      <c r="K126" s="1285">
        <v>0</v>
      </c>
      <c r="L126" s="1284">
        <v>0</v>
      </c>
      <c r="M126" s="1285">
        <v>0</v>
      </c>
      <c r="N126" s="1284">
        <v>0</v>
      </c>
      <c r="O126" s="1285">
        <v>0</v>
      </c>
      <c r="P126" s="1286">
        <v>0</v>
      </c>
      <c r="Q126" s="1285">
        <v>0</v>
      </c>
      <c r="R126" s="1286">
        <v>0</v>
      </c>
      <c r="S126" s="1285">
        <v>0</v>
      </c>
      <c r="T126" s="1286">
        <v>0</v>
      </c>
      <c r="U126" s="1285">
        <v>139.68</v>
      </c>
      <c r="V126" s="1286">
        <v>0</v>
      </c>
      <c r="W126" s="1285">
        <v>0</v>
      </c>
      <c r="X126" s="1286">
        <v>0</v>
      </c>
      <c r="Y126" s="1285">
        <v>0</v>
      </c>
      <c r="Z126" s="1286">
        <v>0</v>
      </c>
      <c r="AA126" s="404">
        <f t="shared" si="14"/>
        <v>139.68</v>
      </c>
      <c r="AB126" s="404">
        <f t="shared" si="15"/>
        <v>0</v>
      </c>
      <c r="AC126" s="959"/>
    </row>
    <row r="127" spans="1:29" ht="21.95" customHeight="1" thickTop="1" thickBot="1" x14ac:dyDescent="0.35">
      <c r="A127" s="1530" t="s">
        <v>688</v>
      </c>
      <c r="B127" s="1531"/>
      <c r="C127" s="405">
        <v>409.2</v>
      </c>
      <c r="D127" s="777">
        <v>0</v>
      </c>
      <c r="E127" s="811">
        <v>0</v>
      </c>
      <c r="F127" s="777">
        <v>0</v>
      </c>
      <c r="G127" s="811">
        <v>0</v>
      </c>
      <c r="H127" s="777">
        <v>0</v>
      </c>
      <c r="I127" s="811">
        <v>0</v>
      </c>
      <c r="J127" s="777">
        <v>0</v>
      </c>
      <c r="K127" s="811">
        <v>0</v>
      </c>
      <c r="L127" s="777">
        <v>0</v>
      </c>
      <c r="M127" s="811">
        <v>0</v>
      </c>
      <c r="N127" s="777">
        <v>0</v>
      </c>
      <c r="O127" s="811">
        <v>0</v>
      </c>
      <c r="P127" s="803">
        <v>0</v>
      </c>
      <c r="Q127" s="811">
        <v>0</v>
      </c>
      <c r="R127" s="803">
        <v>0</v>
      </c>
      <c r="S127" s="811">
        <v>74.040000000000006</v>
      </c>
      <c r="T127" s="803">
        <v>0</v>
      </c>
      <c r="U127" s="811">
        <v>2.98</v>
      </c>
      <c r="V127" s="803">
        <v>0</v>
      </c>
      <c r="W127" s="811">
        <v>734.8</v>
      </c>
      <c r="X127" s="803">
        <v>0</v>
      </c>
      <c r="Y127" s="811">
        <v>99</v>
      </c>
      <c r="Z127" s="803">
        <v>0</v>
      </c>
      <c r="AA127" s="404">
        <f t="shared" si="14"/>
        <v>1320.02</v>
      </c>
      <c r="AB127" s="404">
        <f t="shared" si="15"/>
        <v>0</v>
      </c>
      <c r="AC127" s="959"/>
    </row>
    <row r="128" spans="1:29" ht="21.95" customHeight="1" thickTop="1" thickBot="1" x14ac:dyDescent="0.35">
      <c r="A128" s="1530" t="s">
        <v>765</v>
      </c>
      <c r="B128" s="1531"/>
      <c r="C128" s="788">
        <v>0</v>
      </c>
      <c r="D128" s="788">
        <v>0</v>
      </c>
      <c r="E128" s="848">
        <v>0</v>
      </c>
      <c r="F128" s="788">
        <v>0</v>
      </c>
      <c r="G128" s="848">
        <v>0</v>
      </c>
      <c r="H128" s="788">
        <v>0</v>
      </c>
      <c r="I128" s="848">
        <v>0</v>
      </c>
      <c r="J128" s="788">
        <v>0</v>
      </c>
      <c r="K128" s="848">
        <v>0</v>
      </c>
      <c r="L128" s="788">
        <v>0</v>
      </c>
      <c r="M128" s="848">
        <v>0</v>
      </c>
      <c r="N128" s="788">
        <v>0</v>
      </c>
      <c r="O128" s="848">
        <v>0</v>
      </c>
      <c r="P128" s="804">
        <v>0</v>
      </c>
      <c r="Q128" s="848">
        <v>0</v>
      </c>
      <c r="R128" s="804">
        <v>0</v>
      </c>
      <c r="S128" s="848">
        <v>0</v>
      </c>
      <c r="T128" s="804">
        <v>0</v>
      </c>
      <c r="U128" s="848">
        <v>0</v>
      </c>
      <c r="V128" s="804">
        <v>0</v>
      </c>
      <c r="W128" s="848">
        <v>0</v>
      </c>
      <c r="X128" s="804">
        <v>0</v>
      </c>
      <c r="Y128" s="848">
        <v>0</v>
      </c>
      <c r="Z128" s="804">
        <v>0</v>
      </c>
      <c r="AA128" s="404">
        <f t="shared" ref="AA128" si="16">C128+E128+G128+I128+K128+M128+O128+Q128+S128+U128+W128+Y128</f>
        <v>0</v>
      </c>
      <c r="AB128" s="404">
        <f t="shared" ref="AB128" si="17">D128+F128+H128+J128+L128+N128+P128+R128+T128+V128+X128+Z128</f>
        <v>0</v>
      </c>
      <c r="AC128" s="959"/>
    </row>
    <row r="129" spans="1:29" ht="21.95" customHeight="1" thickTop="1" thickBot="1" x14ac:dyDescent="0.35">
      <c r="A129" s="1530" t="s">
        <v>689</v>
      </c>
      <c r="B129" s="1531"/>
      <c r="C129" s="405">
        <v>56.45</v>
      </c>
      <c r="D129" s="777">
        <v>0</v>
      </c>
      <c r="E129" s="811">
        <v>65.2</v>
      </c>
      <c r="F129" s="777">
        <v>0</v>
      </c>
      <c r="G129" s="811">
        <v>57.7</v>
      </c>
      <c r="H129" s="777">
        <v>0</v>
      </c>
      <c r="I129" s="811">
        <v>161.26</v>
      </c>
      <c r="J129" s="777">
        <v>0</v>
      </c>
      <c r="K129" s="811">
        <v>153.46</v>
      </c>
      <c r="L129" s="777">
        <v>0</v>
      </c>
      <c r="M129" s="811">
        <v>252.18</v>
      </c>
      <c r="N129" s="777">
        <v>0</v>
      </c>
      <c r="O129" s="811">
        <v>136.12</v>
      </c>
      <c r="P129" s="803">
        <v>0</v>
      </c>
      <c r="Q129" s="811">
        <v>0</v>
      </c>
      <c r="R129" s="803">
        <v>0</v>
      </c>
      <c r="S129" s="811">
        <v>86.2</v>
      </c>
      <c r="T129" s="803">
        <v>0</v>
      </c>
      <c r="U129" s="811">
        <v>22.4</v>
      </c>
      <c r="V129" s="803">
        <v>0</v>
      </c>
      <c r="W129" s="811">
        <v>19.8</v>
      </c>
      <c r="X129" s="803">
        <v>0</v>
      </c>
      <c r="Y129" s="811">
        <v>0</v>
      </c>
      <c r="Z129" s="803">
        <v>0</v>
      </c>
      <c r="AA129" s="404">
        <f t="shared" si="14"/>
        <v>1010.77</v>
      </c>
      <c r="AB129" s="404">
        <f t="shared" si="15"/>
        <v>0</v>
      </c>
      <c r="AC129" s="959"/>
    </row>
    <row r="130" spans="1:29" ht="21.95" customHeight="1" thickTop="1" thickBot="1" x14ac:dyDescent="0.35">
      <c r="A130" s="1530" t="s">
        <v>690</v>
      </c>
      <c r="B130" s="1531"/>
      <c r="C130" s="788">
        <v>115.83</v>
      </c>
      <c r="D130" s="788">
        <v>0</v>
      </c>
      <c r="E130" s="848">
        <v>311.39</v>
      </c>
      <c r="F130" s="788">
        <v>0</v>
      </c>
      <c r="G130" s="848">
        <v>0</v>
      </c>
      <c r="H130" s="788">
        <v>0</v>
      </c>
      <c r="I130" s="848">
        <v>1429.08</v>
      </c>
      <c r="J130" s="788">
        <v>0</v>
      </c>
      <c r="K130" s="848">
        <v>184.1</v>
      </c>
      <c r="L130" s="788">
        <v>0</v>
      </c>
      <c r="M130" s="848">
        <v>0</v>
      </c>
      <c r="N130" s="788">
        <v>0</v>
      </c>
      <c r="O130" s="848">
        <v>0</v>
      </c>
      <c r="P130" s="804">
        <v>0</v>
      </c>
      <c r="Q130" s="848">
        <v>0</v>
      </c>
      <c r="R130" s="804">
        <v>0</v>
      </c>
      <c r="S130" s="848">
        <v>40.74</v>
      </c>
      <c r="T130" s="804">
        <v>0</v>
      </c>
      <c r="U130" s="848">
        <v>0</v>
      </c>
      <c r="V130" s="804">
        <v>0</v>
      </c>
      <c r="W130" s="848">
        <v>249.9</v>
      </c>
      <c r="X130" s="804">
        <v>0</v>
      </c>
      <c r="Y130" s="848">
        <v>0</v>
      </c>
      <c r="Z130" s="804">
        <v>0</v>
      </c>
      <c r="AA130" s="404">
        <f t="shared" si="14"/>
        <v>2331.04</v>
      </c>
      <c r="AB130" s="404">
        <f t="shared" si="15"/>
        <v>0</v>
      </c>
      <c r="AC130" s="959"/>
    </row>
    <row r="131" spans="1:29" ht="21.95" customHeight="1" thickTop="1" thickBot="1" x14ac:dyDescent="0.35">
      <c r="A131" s="1530" t="s">
        <v>692</v>
      </c>
      <c r="B131" s="1531"/>
      <c r="C131" s="405">
        <v>0</v>
      </c>
      <c r="D131" s="777">
        <v>0</v>
      </c>
      <c r="E131" s="811">
        <v>0</v>
      </c>
      <c r="F131" s="777">
        <v>0</v>
      </c>
      <c r="G131" s="811">
        <v>0</v>
      </c>
      <c r="H131" s="777">
        <v>0</v>
      </c>
      <c r="I131" s="811">
        <v>0</v>
      </c>
      <c r="J131" s="777">
        <v>0</v>
      </c>
      <c r="K131" s="811">
        <v>0</v>
      </c>
      <c r="L131" s="777">
        <v>0</v>
      </c>
      <c r="M131" s="811">
        <v>0</v>
      </c>
      <c r="N131" s="777">
        <v>0</v>
      </c>
      <c r="O131" s="811">
        <v>0</v>
      </c>
      <c r="P131" s="803">
        <v>0</v>
      </c>
      <c r="Q131" s="811">
        <v>0</v>
      </c>
      <c r="R131" s="803">
        <v>0</v>
      </c>
      <c r="S131" s="811">
        <v>0</v>
      </c>
      <c r="T131" s="803">
        <v>0</v>
      </c>
      <c r="U131" s="811">
        <v>0</v>
      </c>
      <c r="V131" s="803">
        <v>0</v>
      </c>
      <c r="W131" s="811">
        <v>0</v>
      </c>
      <c r="X131" s="803">
        <v>0</v>
      </c>
      <c r="Y131" s="811">
        <v>0</v>
      </c>
      <c r="Z131" s="803">
        <v>0</v>
      </c>
      <c r="AA131" s="404">
        <f t="shared" si="14"/>
        <v>0</v>
      </c>
      <c r="AB131" s="404">
        <f t="shared" si="15"/>
        <v>0</v>
      </c>
      <c r="AC131" s="959"/>
    </row>
    <row r="132" spans="1:29" ht="21.95" customHeight="1" thickTop="1" thickBot="1" x14ac:dyDescent="0.35">
      <c r="A132" s="1530" t="s">
        <v>766</v>
      </c>
      <c r="B132" s="1531"/>
      <c r="C132" s="788">
        <v>0</v>
      </c>
      <c r="D132" s="788">
        <v>0</v>
      </c>
      <c r="E132" s="848">
        <v>0</v>
      </c>
      <c r="F132" s="788">
        <v>0</v>
      </c>
      <c r="G132" s="848">
        <v>0</v>
      </c>
      <c r="H132" s="788">
        <v>0</v>
      </c>
      <c r="I132" s="848">
        <v>0</v>
      </c>
      <c r="J132" s="788">
        <v>0</v>
      </c>
      <c r="K132" s="848">
        <v>0</v>
      </c>
      <c r="L132" s="788">
        <v>0</v>
      </c>
      <c r="M132" s="848">
        <v>0</v>
      </c>
      <c r="N132" s="788">
        <v>0</v>
      </c>
      <c r="O132" s="848">
        <v>0</v>
      </c>
      <c r="P132" s="804">
        <v>0</v>
      </c>
      <c r="Q132" s="848">
        <v>0</v>
      </c>
      <c r="R132" s="804">
        <v>0</v>
      </c>
      <c r="S132" s="848">
        <v>0</v>
      </c>
      <c r="T132" s="804">
        <v>0</v>
      </c>
      <c r="U132" s="848">
        <v>0</v>
      </c>
      <c r="V132" s="804">
        <v>0</v>
      </c>
      <c r="W132" s="848">
        <v>0</v>
      </c>
      <c r="X132" s="804">
        <v>0</v>
      </c>
      <c r="Y132" s="848">
        <v>0</v>
      </c>
      <c r="Z132" s="804">
        <v>0</v>
      </c>
      <c r="AA132" s="404">
        <f t="shared" si="14"/>
        <v>0</v>
      </c>
      <c r="AB132" s="404">
        <f t="shared" si="15"/>
        <v>0</v>
      </c>
      <c r="AC132" s="959"/>
    </row>
    <row r="133" spans="1:29" ht="21.95" customHeight="1" thickTop="1" thickBot="1" x14ac:dyDescent="0.35">
      <c r="A133" s="1530" t="s">
        <v>900</v>
      </c>
      <c r="B133" s="1531"/>
      <c r="C133" s="405">
        <v>7637.95</v>
      </c>
      <c r="D133" s="777">
        <v>0</v>
      </c>
      <c r="E133" s="811">
        <v>7065.04</v>
      </c>
      <c r="F133" s="777">
        <v>0</v>
      </c>
      <c r="G133" s="811">
        <v>3375.88</v>
      </c>
      <c r="H133" s="777">
        <v>0</v>
      </c>
      <c r="I133" s="811">
        <v>2133.33</v>
      </c>
      <c r="J133" s="777">
        <v>0</v>
      </c>
      <c r="K133" s="811">
        <v>3777.89</v>
      </c>
      <c r="L133" s="777">
        <v>0</v>
      </c>
      <c r="M133" s="811">
        <v>2687.65</v>
      </c>
      <c r="N133" s="777">
        <v>0</v>
      </c>
      <c r="O133" s="811">
        <v>4637.3999999999996</v>
      </c>
      <c r="P133" s="803">
        <v>0</v>
      </c>
      <c r="Q133" s="811">
        <v>0</v>
      </c>
      <c r="R133" s="803">
        <v>0</v>
      </c>
      <c r="S133" s="811">
        <v>1269.6199999999999</v>
      </c>
      <c r="T133" s="803">
        <v>0</v>
      </c>
      <c r="U133" s="811">
        <v>5406.93</v>
      </c>
      <c r="V133" s="803">
        <v>0</v>
      </c>
      <c r="W133" s="811">
        <v>4296.07</v>
      </c>
      <c r="X133" s="803">
        <v>0</v>
      </c>
      <c r="Y133" s="811">
        <v>3686.1</v>
      </c>
      <c r="Z133" s="803">
        <v>0</v>
      </c>
      <c r="AA133" s="404">
        <f t="shared" si="14"/>
        <v>45973.86</v>
      </c>
      <c r="AB133" s="404">
        <f t="shared" si="15"/>
        <v>0</v>
      </c>
      <c r="AC133" s="959"/>
    </row>
    <row r="134" spans="1:29" ht="21.95" customHeight="1" thickTop="1" thickBot="1" x14ac:dyDescent="0.35">
      <c r="A134" s="1530" t="s">
        <v>767</v>
      </c>
      <c r="B134" s="1531"/>
      <c r="C134" s="788">
        <v>0</v>
      </c>
      <c r="D134" s="788">
        <v>0</v>
      </c>
      <c r="E134" s="848">
        <v>0</v>
      </c>
      <c r="F134" s="788">
        <v>0</v>
      </c>
      <c r="G134" s="848">
        <v>0</v>
      </c>
      <c r="H134" s="788">
        <v>0</v>
      </c>
      <c r="I134" s="848">
        <v>0</v>
      </c>
      <c r="J134" s="788">
        <v>0</v>
      </c>
      <c r="K134" s="848">
        <v>0</v>
      </c>
      <c r="L134" s="788">
        <v>0</v>
      </c>
      <c r="M134" s="848">
        <v>0</v>
      </c>
      <c r="N134" s="788">
        <v>0</v>
      </c>
      <c r="O134" s="848">
        <v>0</v>
      </c>
      <c r="P134" s="804">
        <v>0</v>
      </c>
      <c r="Q134" s="848">
        <v>0</v>
      </c>
      <c r="R134" s="804">
        <v>0</v>
      </c>
      <c r="S134" s="848">
        <v>0</v>
      </c>
      <c r="T134" s="804">
        <v>0</v>
      </c>
      <c r="U134" s="848">
        <v>0</v>
      </c>
      <c r="V134" s="804">
        <v>0</v>
      </c>
      <c r="W134" s="848">
        <v>0</v>
      </c>
      <c r="X134" s="804">
        <v>0</v>
      </c>
      <c r="Y134" s="848">
        <v>0</v>
      </c>
      <c r="Z134" s="804">
        <v>0</v>
      </c>
      <c r="AA134" s="404">
        <f t="shared" si="14"/>
        <v>0</v>
      </c>
      <c r="AB134" s="404">
        <f t="shared" si="15"/>
        <v>0</v>
      </c>
      <c r="AC134" s="959"/>
    </row>
    <row r="135" spans="1:29" ht="21.95" customHeight="1" thickTop="1" thickBot="1" x14ac:dyDescent="0.35">
      <c r="A135" s="1530" t="s">
        <v>780</v>
      </c>
      <c r="B135" s="1531"/>
      <c r="C135" s="405">
        <v>0</v>
      </c>
      <c r="D135" s="777">
        <v>0</v>
      </c>
      <c r="E135" s="811">
        <v>0</v>
      </c>
      <c r="F135" s="777">
        <v>0</v>
      </c>
      <c r="G135" s="811">
        <v>0</v>
      </c>
      <c r="H135" s="777">
        <v>0</v>
      </c>
      <c r="I135" s="811">
        <v>0</v>
      </c>
      <c r="J135" s="777">
        <v>0</v>
      </c>
      <c r="K135" s="811">
        <v>0</v>
      </c>
      <c r="L135" s="777">
        <v>0</v>
      </c>
      <c r="M135" s="811">
        <v>0</v>
      </c>
      <c r="N135" s="777">
        <v>0</v>
      </c>
      <c r="O135" s="811">
        <v>0</v>
      </c>
      <c r="P135" s="803">
        <v>0</v>
      </c>
      <c r="Q135" s="811">
        <v>0</v>
      </c>
      <c r="R135" s="803">
        <v>0</v>
      </c>
      <c r="S135" s="811">
        <v>0</v>
      </c>
      <c r="T135" s="803">
        <v>0</v>
      </c>
      <c r="U135" s="811">
        <v>0</v>
      </c>
      <c r="V135" s="803">
        <v>0</v>
      </c>
      <c r="W135" s="811">
        <v>0</v>
      </c>
      <c r="X135" s="803">
        <v>0</v>
      </c>
      <c r="Y135" s="811">
        <v>0</v>
      </c>
      <c r="Z135" s="803">
        <v>0</v>
      </c>
      <c r="AA135" s="404">
        <f t="shared" si="14"/>
        <v>0</v>
      </c>
      <c r="AB135" s="404">
        <f t="shared" si="15"/>
        <v>0</v>
      </c>
      <c r="AC135" s="959"/>
    </row>
    <row r="136" spans="1:29" ht="21.95" customHeight="1" thickTop="1" thickBot="1" x14ac:dyDescent="0.35">
      <c r="A136" s="1530" t="s">
        <v>779</v>
      </c>
      <c r="B136" s="1531"/>
      <c r="C136" s="788">
        <v>882.47</v>
      </c>
      <c r="D136" s="788">
        <v>0</v>
      </c>
      <c r="E136" s="848">
        <v>47.27</v>
      </c>
      <c r="F136" s="788">
        <v>0</v>
      </c>
      <c r="G136" s="848">
        <v>120.48</v>
      </c>
      <c r="H136" s="788">
        <v>0</v>
      </c>
      <c r="I136" s="848">
        <v>202.42</v>
      </c>
      <c r="J136" s="788">
        <v>0</v>
      </c>
      <c r="K136" s="848">
        <v>26.4</v>
      </c>
      <c r="L136" s="788">
        <v>0</v>
      </c>
      <c r="M136" s="848">
        <v>336.98</v>
      </c>
      <c r="N136" s="788">
        <v>0</v>
      </c>
      <c r="O136" s="848">
        <v>810.16</v>
      </c>
      <c r="P136" s="804">
        <v>0</v>
      </c>
      <c r="Q136" s="848">
        <v>0</v>
      </c>
      <c r="R136" s="804">
        <v>0</v>
      </c>
      <c r="S136" s="848">
        <v>46.48</v>
      </c>
      <c r="T136" s="804">
        <v>0</v>
      </c>
      <c r="U136" s="848">
        <v>348.16</v>
      </c>
      <c r="V136" s="804">
        <v>0</v>
      </c>
      <c r="W136" s="848">
        <v>397.72</v>
      </c>
      <c r="X136" s="804">
        <v>0</v>
      </c>
      <c r="Y136" s="848">
        <v>232.4</v>
      </c>
      <c r="Z136" s="804">
        <v>0</v>
      </c>
      <c r="AA136" s="404">
        <f t="shared" si="14"/>
        <v>3450.94</v>
      </c>
      <c r="AB136" s="404">
        <f t="shared" si="15"/>
        <v>0</v>
      </c>
      <c r="AC136" s="959"/>
    </row>
    <row r="137" spans="1:29" ht="21.95" customHeight="1" thickTop="1" thickBot="1" x14ac:dyDescent="0.35">
      <c r="A137" s="1530" t="s">
        <v>810</v>
      </c>
      <c r="B137" s="1531"/>
      <c r="C137" s="405">
        <v>0</v>
      </c>
      <c r="D137" s="777">
        <v>0</v>
      </c>
      <c r="E137" s="811">
        <v>0</v>
      </c>
      <c r="F137" s="777">
        <v>0</v>
      </c>
      <c r="G137" s="811">
        <v>0</v>
      </c>
      <c r="H137" s="777">
        <v>0</v>
      </c>
      <c r="I137" s="811">
        <v>0</v>
      </c>
      <c r="J137" s="777">
        <v>0</v>
      </c>
      <c r="K137" s="811">
        <v>0</v>
      </c>
      <c r="L137" s="777">
        <v>0</v>
      </c>
      <c r="M137" s="811">
        <v>0</v>
      </c>
      <c r="N137" s="777">
        <v>0</v>
      </c>
      <c r="O137" s="811">
        <v>0</v>
      </c>
      <c r="P137" s="803">
        <v>0</v>
      </c>
      <c r="Q137" s="811">
        <v>0</v>
      </c>
      <c r="R137" s="803">
        <v>0</v>
      </c>
      <c r="S137" s="811">
        <v>0</v>
      </c>
      <c r="T137" s="803">
        <v>0</v>
      </c>
      <c r="U137" s="811">
        <v>0</v>
      </c>
      <c r="V137" s="803">
        <v>0</v>
      </c>
      <c r="W137" s="811">
        <v>0</v>
      </c>
      <c r="X137" s="803">
        <v>0</v>
      </c>
      <c r="Y137" s="811">
        <v>0</v>
      </c>
      <c r="Z137" s="803">
        <v>0</v>
      </c>
      <c r="AA137" s="404">
        <f t="shared" si="14"/>
        <v>0</v>
      </c>
      <c r="AB137" s="404">
        <f t="shared" si="15"/>
        <v>0</v>
      </c>
      <c r="AC137" s="959"/>
    </row>
    <row r="138" spans="1:29" ht="21.95" customHeight="1" thickTop="1" thickBot="1" x14ac:dyDescent="0.35">
      <c r="A138" s="1530" t="s">
        <v>781</v>
      </c>
      <c r="B138" s="1531"/>
      <c r="C138" s="788">
        <v>2718.41</v>
      </c>
      <c r="D138" s="788">
        <v>0</v>
      </c>
      <c r="E138" s="848">
        <v>0</v>
      </c>
      <c r="F138" s="788">
        <v>0</v>
      </c>
      <c r="G138" s="848">
        <v>1410.93</v>
      </c>
      <c r="H138" s="788">
        <v>0</v>
      </c>
      <c r="I138" s="848">
        <v>3642.69</v>
      </c>
      <c r="J138" s="788">
        <v>0</v>
      </c>
      <c r="K138" s="848">
        <v>1705.84</v>
      </c>
      <c r="L138" s="788">
        <v>0</v>
      </c>
      <c r="M138" s="848">
        <v>3448.77</v>
      </c>
      <c r="N138" s="788">
        <v>0</v>
      </c>
      <c r="O138" s="848">
        <v>2706.12</v>
      </c>
      <c r="P138" s="804">
        <v>0</v>
      </c>
      <c r="Q138" s="848">
        <v>0</v>
      </c>
      <c r="R138" s="804">
        <v>0</v>
      </c>
      <c r="S138" s="848">
        <v>2557.1999999999998</v>
      </c>
      <c r="T138" s="804">
        <v>0</v>
      </c>
      <c r="U138" s="848">
        <v>0</v>
      </c>
      <c r="V138" s="804">
        <v>0</v>
      </c>
      <c r="W138" s="848">
        <v>4692.93</v>
      </c>
      <c r="X138" s="804">
        <v>0</v>
      </c>
      <c r="Y138" s="848">
        <v>3879.05</v>
      </c>
      <c r="Z138" s="804">
        <v>0</v>
      </c>
      <c r="AA138" s="404">
        <f t="shared" si="14"/>
        <v>26761.940000000002</v>
      </c>
      <c r="AB138" s="404">
        <f t="shared" si="15"/>
        <v>0</v>
      </c>
      <c r="AC138" s="959"/>
    </row>
    <row r="139" spans="1:29" ht="21.95" customHeight="1" thickTop="1" thickBot="1" x14ac:dyDescent="0.35">
      <c r="A139" s="1530" t="s">
        <v>905</v>
      </c>
      <c r="B139" s="1531"/>
      <c r="C139" s="1284">
        <v>0</v>
      </c>
      <c r="D139" s="1284">
        <v>0</v>
      </c>
      <c r="E139" s="1285">
        <v>0</v>
      </c>
      <c r="F139" s="1284">
        <v>0</v>
      </c>
      <c r="G139" s="1285">
        <v>0</v>
      </c>
      <c r="H139" s="1284">
        <v>0</v>
      </c>
      <c r="I139" s="1285">
        <v>0</v>
      </c>
      <c r="J139" s="1284">
        <v>0</v>
      </c>
      <c r="K139" s="1285">
        <v>0</v>
      </c>
      <c r="L139" s="1284">
        <v>0</v>
      </c>
      <c r="M139" s="1285">
        <v>0</v>
      </c>
      <c r="N139" s="1284">
        <v>0</v>
      </c>
      <c r="O139" s="1285">
        <v>30.75</v>
      </c>
      <c r="P139" s="1286">
        <v>0</v>
      </c>
      <c r="Q139" s="1285">
        <v>0</v>
      </c>
      <c r="R139" s="1286">
        <v>0</v>
      </c>
      <c r="S139" s="1285">
        <v>97.48</v>
      </c>
      <c r="T139" s="1286">
        <v>0</v>
      </c>
      <c r="U139" s="1285">
        <v>2718.46</v>
      </c>
      <c r="V139" s="1286">
        <v>0</v>
      </c>
      <c r="W139" s="1285">
        <v>281.82</v>
      </c>
      <c r="X139" s="1286">
        <v>0</v>
      </c>
      <c r="Y139" s="1285">
        <v>0</v>
      </c>
      <c r="Z139" s="1286">
        <v>0</v>
      </c>
      <c r="AA139" s="404">
        <f t="shared" si="14"/>
        <v>3128.51</v>
      </c>
      <c r="AB139" s="404">
        <f t="shared" si="15"/>
        <v>0</v>
      </c>
      <c r="AC139" s="959"/>
    </row>
    <row r="140" spans="1:29" ht="21.95" customHeight="1" thickTop="1" thickBot="1" x14ac:dyDescent="0.35">
      <c r="A140" s="1530" t="s">
        <v>901</v>
      </c>
      <c r="B140" s="1531"/>
      <c r="C140" s="788">
        <v>0</v>
      </c>
      <c r="D140" s="788">
        <v>0</v>
      </c>
      <c r="E140" s="1213">
        <v>120.24</v>
      </c>
      <c r="F140" s="788">
        <v>0</v>
      </c>
      <c r="G140" s="1213">
        <v>1427.55</v>
      </c>
      <c r="H140" s="788">
        <v>0</v>
      </c>
      <c r="I140" s="1213">
        <v>43.8</v>
      </c>
      <c r="J140" s="788">
        <v>0</v>
      </c>
      <c r="K140" s="1213">
        <v>2293.0300000000002</v>
      </c>
      <c r="L140" s="788">
        <v>0</v>
      </c>
      <c r="M140" s="1213">
        <v>1050.6199999999999</v>
      </c>
      <c r="N140" s="788">
        <v>0</v>
      </c>
      <c r="O140" s="1213">
        <v>0</v>
      </c>
      <c r="P140" s="1214">
        <v>0</v>
      </c>
      <c r="Q140" s="1213">
        <v>0</v>
      </c>
      <c r="R140" s="1214">
        <v>0</v>
      </c>
      <c r="S140" s="1213">
        <v>227.91</v>
      </c>
      <c r="T140" s="1214">
        <v>0</v>
      </c>
      <c r="U140" s="1213">
        <v>15.15</v>
      </c>
      <c r="V140" s="1214">
        <v>0</v>
      </c>
      <c r="W140" s="1213">
        <v>193.47</v>
      </c>
      <c r="X140" s="1214">
        <v>0</v>
      </c>
      <c r="Y140" s="1213">
        <v>0</v>
      </c>
      <c r="Z140" s="1214">
        <v>0</v>
      </c>
      <c r="AA140" s="1215">
        <f t="shared" si="14"/>
        <v>5371.7699999999995</v>
      </c>
      <c r="AB140" s="1215">
        <f t="shared" si="15"/>
        <v>0</v>
      </c>
      <c r="AC140" s="959"/>
    </row>
    <row r="141" spans="1:29" ht="21.95" customHeight="1" thickTop="1" thickBot="1" x14ac:dyDescent="0.35">
      <c r="A141" s="1530" t="s">
        <v>904</v>
      </c>
      <c r="B141" s="1531"/>
      <c r="C141" s="1284">
        <v>0</v>
      </c>
      <c r="D141" s="1284">
        <v>0</v>
      </c>
      <c r="E141" s="1285">
        <v>0</v>
      </c>
      <c r="F141" s="1284">
        <v>0</v>
      </c>
      <c r="G141" s="1285">
        <v>0</v>
      </c>
      <c r="H141" s="1284">
        <v>0</v>
      </c>
      <c r="I141" s="1285">
        <v>0</v>
      </c>
      <c r="J141" s="1284">
        <v>0</v>
      </c>
      <c r="K141" s="1285">
        <v>0</v>
      </c>
      <c r="L141" s="1284">
        <v>0</v>
      </c>
      <c r="M141" s="1285">
        <v>0</v>
      </c>
      <c r="N141" s="1284">
        <v>0</v>
      </c>
      <c r="O141" s="1285">
        <v>0</v>
      </c>
      <c r="P141" s="1286">
        <v>0</v>
      </c>
      <c r="Q141" s="1285">
        <v>0</v>
      </c>
      <c r="R141" s="1286">
        <v>0</v>
      </c>
      <c r="S141" s="1285">
        <v>0</v>
      </c>
      <c r="T141" s="1286">
        <v>0</v>
      </c>
      <c r="U141" s="1285">
        <v>30</v>
      </c>
      <c r="V141" s="1286">
        <v>0</v>
      </c>
      <c r="W141" s="1285">
        <v>60</v>
      </c>
      <c r="X141" s="1286">
        <v>0</v>
      </c>
      <c r="Y141" s="1285">
        <v>0</v>
      </c>
      <c r="Z141" s="1286">
        <v>0</v>
      </c>
      <c r="AA141" s="1215">
        <f t="shared" si="14"/>
        <v>90</v>
      </c>
      <c r="AB141" s="1215">
        <f t="shared" si="15"/>
        <v>0</v>
      </c>
      <c r="AC141" s="959"/>
    </row>
    <row r="142" spans="1:29" ht="21.95" customHeight="1" thickTop="1" thickBot="1" x14ac:dyDescent="0.35">
      <c r="A142" s="1530" t="s">
        <v>1019</v>
      </c>
      <c r="B142" s="1531"/>
      <c r="C142" s="1284">
        <v>0</v>
      </c>
      <c r="D142" s="1284">
        <v>0</v>
      </c>
      <c r="E142" s="1213">
        <v>0</v>
      </c>
      <c r="F142" s="1284">
        <v>0</v>
      </c>
      <c r="G142" s="1213">
        <v>0</v>
      </c>
      <c r="H142" s="1284">
        <v>0</v>
      </c>
      <c r="I142" s="1213">
        <v>0</v>
      </c>
      <c r="J142" s="1284">
        <v>0</v>
      </c>
      <c r="K142" s="1213">
        <v>0</v>
      </c>
      <c r="L142" s="1284">
        <v>0</v>
      </c>
      <c r="M142" s="1213">
        <v>0</v>
      </c>
      <c r="N142" s="1284">
        <v>0</v>
      </c>
      <c r="O142" s="1213">
        <v>0</v>
      </c>
      <c r="P142" s="1286">
        <v>0</v>
      </c>
      <c r="Q142" s="1213">
        <v>0</v>
      </c>
      <c r="R142" s="1286">
        <v>0</v>
      </c>
      <c r="S142" s="1213">
        <v>0</v>
      </c>
      <c r="T142" s="1286">
        <v>0</v>
      </c>
      <c r="U142" s="1213">
        <v>0</v>
      </c>
      <c r="V142" s="1286">
        <v>0</v>
      </c>
      <c r="W142" s="1213">
        <v>0</v>
      </c>
      <c r="X142" s="1286">
        <v>0</v>
      </c>
      <c r="Y142" s="1213">
        <v>0</v>
      </c>
      <c r="Z142" s="1286">
        <v>0</v>
      </c>
      <c r="AA142" s="1215">
        <f t="shared" si="14"/>
        <v>0</v>
      </c>
      <c r="AB142" s="1215">
        <f t="shared" si="15"/>
        <v>0</v>
      </c>
      <c r="AC142" s="959"/>
    </row>
    <row r="143" spans="1:29" ht="21.95" customHeight="1" thickTop="1" thickBot="1" x14ac:dyDescent="0.35">
      <c r="A143" s="1530" t="s">
        <v>1020</v>
      </c>
      <c r="B143" s="1531"/>
      <c r="C143" s="777">
        <v>50</v>
      </c>
      <c r="D143" s="803">
        <v>0</v>
      </c>
      <c r="E143" s="811">
        <v>177.78</v>
      </c>
      <c r="F143" s="803">
        <v>0</v>
      </c>
      <c r="G143" s="811">
        <v>0</v>
      </c>
      <c r="H143" s="803">
        <v>0</v>
      </c>
      <c r="I143" s="811">
        <v>50</v>
      </c>
      <c r="J143" s="803">
        <v>0</v>
      </c>
      <c r="K143" s="811">
        <v>0</v>
      </c>
      <c r="L143" s="803">
        <v>0</v>
      </c>
      <c r="M143" s="1281">
        <v>0</v>
      </c>
      <c r="N143" s="803">
        <v>0</v>
      </c>
      <c r="O143" s="811">
        <v>210</v>
      </c>
      <c r="P143" s="803">
        <v>0</v>
      </c>
      <c r="Q143" s="811">
        <v>160</v>
      </c>
      <c r="R143" s="803">
        <v>0</v>
      </c>
      <c r="S143" s="811">
        <v>0</v>
      </c>
      <c r="T143" s="803">
        <v>0</v>
      </c>
      <c r="U143" s="811">
        <v>0</v>
      </c>
      <c r="V143" s="803">
        <v>0</v>
      </c>
      <c r="W143" s="811">
        <v>0</v>
      </c>
      <c r="X143" s="803">
        <v>0</v>
      </c>
      <c r="Y143" s="811">
        <v>0</v>
      </c>
      <c r="Z143" s="803">
        <v>0</v>
      </c>
      <c r="AA143" s="404">
        <f t="shared" si="14"/>
        <v>647.78</v>
      </c>
      <c r="AB143" s="404">
        <f t="shared" si="15"/>
        <v>0</v>
      </c>
      <c r="AC143" s="959"/>
    </row>
    <row r="144" spans="1:29" ht="21.95" customHeight="1" thickTop="1" thickBot="1" x14ac:dyDescent="0.35">
      <c r="A144" s="1530" t="s">
        <v>1021</v>
      </c>
      <c r="B144" s="1531"/>
      <c r="C144" s="790">
        <v>0</v>
      </c>
      <c r="D144" s="804">
        <v>0</v>
      </c>
      <c r="E144" s="848">
        <v>952.75</v>
      </c>
      <c r="F144" s="804">
        <v>0</v>
      </c>
      <c r="G144" s="848">
        <v>161.5</v>
      </c>
      <c r="H144" s="804">
        <v>0</v>
      </c>
      <c r="I144" s="848">
        <v>255</v>
      </c>
      <c r="J144" s="804">
        <v>0</v>
      </c>
      <c r="K144" s="848">
        <v>623.95000000000005</v>
      </c>
      <c r="L144" s="804">
        <v>0</v>
      </c>
      <c r="M144" s="848">
        <v>92.5</v>
      </c>
      <c r="N144" s="804">
        <v>0</v>
      </c>
      <c r="O144" s="848">
        <v>0</v>
      </c>
      <c r="P144" s="804">
        <v>0</v>
      </c>
      <c r="Q144" s="848">
        <v>102.3</v>
      </c>
      <c r="R144" s="804">
        <v>0</v>
      </c>
      <c r="S144" s="848">
        <v>0</v>
      </c>
      <c r="T144" s="804">
        <v>0</v>
      </c>
      <c r="U144" s="848">
        <v>0</v>
      </c>
      <c r="V144" s="804">
        <v>0</v>
      </c>
      <c r="W144" s="848">
        <v>0</v>
      </c>
      <c r="X144" s="804">
        <v>0</v>
      </c>
      <c r="Y144" s="848">
        <v>0</v>
      </c>
      <c r="Z144" s="804">
        <v>0</v>
      </c>
      <c r="AA144" s="404">
        <f t="shared" si="14"/>
        <v>2188</v>
      </c>
      <c r="AB144" s="404">
        <f t="shared" si="15"/>
        <v>0</v>
      </c>
      <c r="AC144" s="959"/>
    </row>
    <row r="145" spans="1:31" ht="21.95" customHeight="1" thickTop="1" thickBot="1" x14ac:dyDescent="0.35">
      <c r="A145" s="1530" t="s">
        <v>883</v>
      </c>
      <c r="B145" s="1531"/>
      <c r="C145" s="777">
        <v>0</v>
      </c>
      <c r="D145" s="803">
        <v>0</v>
      </c>
      <c r="E145" s="811">
        <v>0</v>
      </c>
      <c r="F145" s="803">
        <v>0</v>
      </c>
      <c r="G145" s="811">
        <v>0</v>
      </c>
      <c r="H145" s="803">
        <v>0</v>
      </c>
      <c r="I145" s="811">
        <v>0</v>
      </c>
      <c r="J145" s="803">
        <v>0</v>
      </c>
      <c r="K145" s="811">
        <v>0</v>
      </c>
      <c r="L145" s="803">
        <v>0</v>
      </c>
      <c r="M145" s="811">
        <v>0</v>
      </c>
      <c r="N145" s="803">
        <v>0</v>
      </c>
      <c r="O145" s="811">
        <v>0</v>
      </c>
      <c r="P145" s="803">
        <v>0</v>
      </c>
      <c r="Q145" s="811">
        <v>0</v>
      </c>
      <c r="R145" s="803">
        <v>0</v>
      </c>
      <c r="S145" s="811">
        <v>0</v>
      </c>
      <c r="T145" s="803">
        <v>0</v>
      </c>
      <c r="U145" s="811">
        <v>0</v>
      </c>
      <c r="V145" s="803">
        <v>0</v>
      </c>
      <c r="W145" s="811">
        <v>0</v>
      </c>
      <c r="X145" s="803">
        <v>0</v>
      </c>
      <c r="Y145" s="811">
        <v>0</v>
      </c>
      <c r="Z145" s="803">
        <v>0</v>
      </c>
      <c r="AA145" s="404">
        <f t="shared" si="14"/>
        <v>0</v>
      </c>
      <c r="AB145" s="404">
        <f t="shared" si="15"/>
        <v>0</v>
      </c>
      <c r="AC145" s="959"/>
    </row>
    <row r="146" spans="1:31" ht="21.95" customHeight="1" thickTop="1" thickBot="1" x14ac:dyDescent="0.35">
      <c r="A146" s="1530" t="s">
        <v>1061</v>
      </c>
      <c r="B146" s="1531"/>
      <c r="C146" s="790">
        <v>0</v>
      </c>
      <c r="D146" s="804">
        <v>0</v>
      </c>
      <c r="E146" s="848">
        <v>0</v>
      </c>
      <c r="F146" s="804">
        <v>0</v>
      </c>
      <c r="G146" s="848">
        <v>0</v>
      </c>
      <c r="H146" s="804">
        <v>0</v>
      </c>
      <c r="I146" s="848">
        <v>0</v>
      </c>
      <c r="J146" s="804">
        <v>0</v>
      </c>
      <c r="K146" s="848">
        <v>0</v>
      </c>
      <c r="L146" s="804">
        <v>0</v>
      </c>
      <c r="M146" s="848">
        <v>185.47</v>
      </c>
      <c r="N146" s="804">
        <v>0</v>
      </c>
      <c r="O146" s="848">
        <v>0</v>
      </c>
      <c r="P146" s="804">
        <v>0</v>
      </c>
      <c r="Q146" s="848">
        <v>0</v>
      </c>
      <c r="R146" s="804">
        <v>0</v>
      </c>
      <c r="S146" s="848">
        <v>0</v>
      </c>
      <c r="T146" s="804">
        <v>0</v>
      </c>
      <c r="U146" s="848">
        <v>0</v>
      </c>
      <c r="V146" s="804">
        <v>0</v>
      </c>
      <c r="W146" s="848">
        <v>0</v>
      </c>
      <c r="X146" s="804">
        <v>0</v>
      </c>
      <c r="Y146" s="848">
        <v>0</v>
      </c>
      <c r="Z146" s="804">
        <v>0</v>
      </c>
      <c r="AA146" s="404">
        <f t="shared" si="14"/>
        <v>185.47</v>
      </c>
      <c r="AB146" s="404">
        <f t="shared" si="15"/>
        <v>0</v>
      </c>
      <c r="AC146" s="959"/>
    </row>
    <row r="147" spans="1:31" ht="21.95" customHeight="1" thickTop="1" thickBot="1" x14ac:dyDescent="0.35">
      <c r="A147" s="1530" t="s">
        <v>884</v>
      </c>
      <c r="B147" s="1531"/>
      <c r="C147" s="777">
        <v>0</v>
      </c>
      <c r="D147" s="803">
        <v>0</v>
      </c>
      <c r="E147" s="811">
        <v>0</v>
      </c>
      <c r="F147" s="803">
        <v>0</v>
      </c>
      <c r="G147" s="811">
        <v>0</v>
      </c>
      <c r="H147" s="803">
        <v>0</v>
      </c>
      <c r="I147" s="811">
        <v>0</v>
      </c>
      <c r="J147" s="803">
        <v>0</v>
      </c>
      <c r="K147" s="811">
        <v>0</v>
      </c>
      <c r="L147" s="803">
        <v>0</v>
      </c>
      <c r="M147" s="811">
        <v>0</v>
      </c>
      <c r="N147" s="803">
        <v>0</v>
      </c>
      <c r="O147" s="811">
        <v>0</v>
      </c>
      <c r="P147" s="803">
        <v>0</v>
      </c>
      <c r="Q147" s="811">
        <v>0</v>
      </c>
      <c r="R147" s="803">
        <v>0</v>
      </c>
      <c r="S147" s="811">
        <v>0</v>
      </c>
      <c r="T147" s="803">
        <v>0</v>
      </c>
      <c r="U147" s="811">
        <v>0</v>
      </c>
      <c r="V147" s="803">
        <v>0</v>
      </c>
      <c r="W147" s="811">
        <v>0</v>
      </c>
      <c r="X147" s="803">
        <v>0</v>
      </c>
      <c r="Y147" s="811">
        <v>0</v>
      </c>
      <c r="Z147" s="803">
        <v>0</v>
      </c>
      <c r="AA147" s="404">
        <f t="shared" si="14"/>
        <v>0</v>
      </c>
      <c r="AB147" s="404">
        <f t="shared" si="15"/>
        <v>0</v>
      </c>
      <c r="AC147" s="959"/>
    </row>
    <row r="148" spans="1:31" ht="21.95" customHeight="1" thickTop="1" thickBot="1" x14ac:dyDescent="0.35">
      <c r="A148" s="1530" t="s">
        <v>885</v>
      </c>
      <c r="B148" s="1531"/>
      <c r="C148" s="790">
        <v>248.48</v>
      </c>
      <c r="D148" s="804">
        <v>0</v>
      </c>
      <c r="E148" s="848">
        <v>694.97</v>
      </c>
      <c r="F148" s="804">
        <v>0</v>
      </c>
      <c r="G148" s="848">
        <v>0</v>
      </c>
      <c r="H148" s="804">
        <v>0</v>
      </c>
      <c r="I148" s="848">
        <v>254.76</v>
      </c>
      <c r="J148" s="804">
        <v>0</v>
      </c>
      <c r="K148" s="848">
        <v>410.48</v>
      </c>
      <c r="L148" s="804">
        <v>0</v>
      </c>
      <c r="M148" s="848">
        <v>781.49</v>
      </c>
      <c r="N148" s="804">
        <v>0</v>
      </c>
      <c r="O148" s="848">
        <v>438.32</v>
      </c>
      <c r="P148" s="804">
        <v>0</v>
      </c>
      <c r="Q148" s="848">
        <v>0</v>
      </c>
      <c r="R148" s="804">
        <v>0</v>
      </c>
      <c r="S148" s="848">
        <v>754.18</v>
      </c>
      <c r="T148" s="804">
        <v>0</v>
      </c>
      <c r="U148" s="848">
        <v>141.13999999999999</v>
      </c>
      <c r="V148" s="804">
        <v>0</v>
      </c>
      <c r="W148" s="848">
        <v>271.33999999999997</v>
      </c>
      <c r="X148" s="804">
        <v>0</v>
      </c>
      <c r="Y148" s="848">
        <v>0</v>
      </c>
      <c r="Z148" s="804">
        <v>0</v>
      </c>
      <c r="AA148" s="404">
        <f t="shared" si="14"/>
        <v>3995.1600000000003</v>
      </c>
      <c r="AB148" s="404">
        <f t="shared" si="15"/>
        <v>0</v>
      </c>
      <c r="AC148" s="959"/>
    </row>
    <row r="149" spans="1:31" ht="21.95" customHeight="1" thickTop="1" thickBot="1" x14ac:dyDescent="0.35">
      <c r="A149" s="1530" t="s">
        <v>886</v>
      </c>
      <c r="B149" s="1531"/>
      <c r="C149" s="777">
        <v>0</v>
      </c>
      <c r="D149" s="803">
        <v>0</v>
      </c>
      <c r="E149" s="810">
        <v>0</v>
      </c>
      <c r="F149" s="803">
        <v>0</v>
      </c>
      <c r="G149" s="810">
        <v>0</v>
      </c>
      <c r="H149" s="803">
        <v>0</v>
      </c>
      <c r="I149" s="810">
        <v>0</v>
      </c>
      <c r="J149" s="803">
        <v>0</v>
      </c>
      <c r="K149" s="810">
        <v>0</v>
      </c>
      <c r="L149" s="803">
        <v>0</v>
      </c>
      <c r="M149" s="810">
        <v>0</v>
      </c>
      <c r="N149" s="803">
        <v>0</v>
      </c>
      <c r="O149" s="810">
        <v>0</v>
      </c>
      <c r="P149" s="815">
        <v>0</v>
      </c>
      <c r="Q149" s="810">
        <v>0</v>
      </c>
      <c r="R149" s="815">
        <v>0</v>
      </c>
      <c r="S149" s="810">
        <v>0</v>
      </c>
      <c r="T149" s="815">
        <v>0</v>
      </c>
      <c r="U149" s="810">
        <v>0</v>
      </c>
      <c r="V149" s="815">
        <v>0</v>
      </c>
      <c r="W149" s="810">
        <v>0</v>
      </c>
      <c r="X149" s="815">
        <v>0</v>
      </c>
      <c r="Y149" s="810">
        <v>0</v>
      </c>
      <c r="Z149" s="815">
        <v>0</v>
      </c>
      <c r="AA149" s="404">
        <f t="shared" si="14"/>
        <v>0</v>
      </c>
      <c r="AB149" s="404">
        <f t="shared" si="15"/>
        <v>0</v>
      </c>
      <c r="AC149" s="959"/>
    </row>
    <row r="150" spans="1:31" ht="21.95" customHeight="1" thickTop="1" thickBot="1" x14ac:dyDescent="0.35">
      <c r="A150" s="1530" t="s">
        <v>411</v>
      </c>
      <c r="B150" s="1531"/>
      <c r="C150" s="790">
        <v>0</v>
      </c>
      <c r="D150" s="804">
        <v>0</v>
      </c>
      <c r="E150" s="848">
        <v>0</v>
      </c>
      <c r="F150" s="804">
        <v>0</v>
      </c>
      <c r="G150" s="848">
        <v>6356.94</v>
      </c>
      <c r="H150" s="804">
        <v>0</v>
      </c>
      <c r="I150" s="848">
        <v>0</v>
      </c>
      <c r="J150" s="804">
        <v>0</v>
      </c>
      <c r="K150" s="848">
        <v>629.42999999999995</v>
      </c>
      <c r="L150" s="804">
        <v>0</v>
      </c>
      <c r="M150" s="848">
        <v>585.70000000000005</v>
      </c>
      <c r="N150" s="804">
        <v>0</v>
      </c>
      <c r="O150" s="848">
        <v>396.8</v>
      </c>
      <c r="P150" s="804">
        <v>0</v>
      </c>
      <c r="Q150" s="848">
        <v>0</v>
      </c>
      <c r="R150" s="804">
        <v>0</v>
      </c>
      <c r="S150" s="848">
        <v>3765.5</v>
      </c>
      <c r="T150" s="804">
        <v>0</v>
      </c>
      <c r="U150" s="848">
        <v>0</v>
      </c>
      <c r="V150" s="804">
        <v>0</v>
      </c>
      <c r="W150" s="848">
        <v>0</v>
      </c>
      <c r="X150" s="804">
        <v>0</v>
      </c>
      <c r="Y150" s="848">
        <v>0</v>
      </c>
      <c r="Z150" s="804">
        <v>0</v>
      </c>
      <c r="AA150" s="404">
        <f t="shared" si="14"/>
        <v>11734.369999999999</v>
      </c>
      <c r="AB150" s="404">
        <f t="shared" si="15"/>
        <v>0</v>
      </c>
      <c r="AC150" s="959"/>
    </row>
    <row r="151" spans="1:31" ht="21.95" customHeight="1" thickTop="1" thickBot="1" x14ac:dyDescent="0.35">
      <c r="A151" s="1530" t="s">
        <v>412</v>
      </c>
      <c r="B151" s="1531"/>
      <c r="C151" s="777">
        <v>0</v>
      </c>
      <c r="D151" s="803">
        <v>0</v>
      </c>
      <c r="E151" s="810">
        <v>0</v>
      </c>
      <c r="F151" s="803">
        <v>0</v>
      </c>
      <c r="G151" s="810">
        <v>0</v>
      </c>
      <c r="H151" s="803">
        <v>0</v>
      </c>
      <c r="I151" s="810">
        <v>0</v>
      </c>
      <c r="J151" s="803">
        <v>0</v>
      </c>
      <c r="K151" s="810">
        <v>0</v>
      </c>
      <c r="L151" s="803">
        <v>0</v>
      </c>
      <c r="M151" s="810">
        <v>0</v>
      </c>
      <c r="N151" s="803">
        <v>0</v>
      </c>
      <c r="O151" s="810">
        <v>30</v>
      </c>
      <c r="P151" s="815">
        <v>0</v>
      </c>
      <c r="Q151" s="810">
        <v>0</v>
      </c>
      <c r="R151" s="815">
        <v>0</v>
      </c>
      <c r="S151" s="810">
        <v>75</v>
      </c>
      <c r="T151" s="815">
        <v>0</v>
      </c>
      <c r="U151" s="810">
        <v>0</v>
      </c>
      <c r="V151" s="815">
        <v>0</v>
      </c>
      <c r="W151" s="810">
        <v>0</v>
      </c>
      <c r="X151" s="815">
        <v>0</v>
      </c>
      <c r="Y151" s="810">
        <v>0</v>
      </c>
      <c r="Z151" s="815">
        <v>0</v>
      </c>
      <c r="AA151" s="404">
        <f t="shared" si="14"/>
        <v>105</v>
      </c>
      <c r="AB151" s="404">
        <f t="shared" si="15"/>
        <v>0</v>
      </c>
      <c r="AC151" s="959"/>
    </row>
    <row r="152" spans="1:31" ht="21.95" customHeight="1" thickTop="1" thickBot="1" x14ac:dyDescent="0.35">
      <c r="A152" s="1530" t="s">
        <v>413</v>
      </c>
      <c r="B152" s="1531"/>
      <c r="C152" s="790">
        <v>0</v>
      </c>
      <c r="D152" s="804">
        <v>0</v>
      </c>
      <c r="E152" s="848">
        <v>0</v>
      </c>
      <c r="F152" s="804">
        <v>0</v>
      </c>
      <c r="G152" s="848">
        <v>0</v>
      </c>
      <c r="H152" s="804">
        <v>0</v>
      </c>
      <c r="I152" s="848">
        <v>0</v>
      </c>
      <c r="J152" s="804">
        <v>0</v>
      </c>
      <c r="K152" s="848">
        <v>0</v>
      </c>
      <c r="L152" s="804">
        <v>0</v>
      </c>
      <c r="M152" s="848">
        <v>0</v>
      </c>
      <c r="N152" s="804">
        <v>0</v>
      </c>
      <c r="O152" s="848">
        <v>0</v>
      </c>
      <c r="P152" s="804">
        <v>0</v>
      </c>
      <c r="Q152" s="848">
        <v>0</v>
      </c>
      <c r="R152" s="804">
        <v>0</v>
      </c>
      <c r="S152" s="848">
        <v>0</v>
      </c>
      <c r="T152" s="804">
        <v>0</v>
      </c>
      <c r="U152" s="848">
        <v>0</v>
      </c>
      <c r="V152" s="804">
        <v>0</v>
      </c>
      <c r="W152" s="848">
        <v>0</v>
      </c>
      <c r="X152" s="804">
        <v>0</v>
      </c>
      <c r="Y152" s="848">
        <v>0</v>
      </c>
      <c r="Z152" s="804">
        <v>0</v>
      </c>
      <c r="AA152" s="404">
        <f t="shared" si="14"/>
        <v>0</v>
      </c>
      <c r="AB152" s="404">
        <f t="shared" si="15"/>
        <v>0</v>
      </c>
      <c r="AC152" s="959"/>
    </row>
    <row r="153" spans="1:31" ht="21.95" customHeight="1" thickTop="1" thickBot="1" x14ac:dyDescent="0.4">
      <c r="A153" s="1530" t="s">
        <v>639</v>
      </c>
      <c r="B153" s="1531"/>
      <c r="C153" s="777">
        <v>0</v>
      </c>
      <c r="D153" s="803">
        <v>0</v>
      </c>
      <c r="E153" s="810">
        <v>0</v>
      </c>
      <c r="F153" s="803">
        <v>0</v>
      </c>
      <c r="G153" s="810">
        <v>0</v>
      </c>
      <c r="H153" s="803">
        <v>0</v>
      </c>
      <c r="I153" s="810">
        <v>103.24</v>
      </c>
      <c r="J153" s="803">
        <v>0</v>
      </c>
      <c r="K153" s="810">
        <v>71.959999999999994</v>
      </c>
      <c r="L153" s="803">
        <v>0</v>
      </c>
      <c r="M153" s="810">
        <v>0</v>
      </c>
      <c r="N153" s="803">
        <v>0</v>
      </c>
      <c r="O153" s="810">
        <v>8.4</v>
      </c>
      <c r="P153" s="815">
        <v>0</v>
      </c>
      <c r="Q153" s="810">
        <v>0</v>
      </c>
      <c r="R153" s="815">
        <v>0</v>
      </c>
      <c r="S153" s="810">
        <v>244.85</v>
      </c>
      <c r="T153" s="815">
        <v>0</v>
      </c>
      <c r="U153" s="810">
        <v>0</v>
      </c>
      <c r="V153" s="815">
        <v>0</v>
      </c>
      <c r="W153" s="810">
        <v>0</v>
      </c>
      <c r="X153" s="815">
        <v>0</v>
      </c>
      <c r="Y153" s="810">
        <v>0</v>
      </c>
      <c r="Z153" s="815">
        <v>0</v>
      </c>
      <c r="AA153" s="404">
        <f t="shared" si="14"/>
        <v>428.45</v>
      </c>
      <c r="AB153" s="404">
        <f t="shared" si="15"/>
        <v>0</v>
      </c>
      <c r="AC153" s="1649" t="s">
        <v>49</v>
      </c>
      <c r="AD153" s="1650"/>
    </row>
    <row r="154" spans="1:31" s="428" customFormat="1" ht="26.1" customHeight="1" thickTop="1" thickBot="1" x14ac:dyDescent="0.35">
      <c r="A154" s="1530" t="s">
        <v>887</v>
      </c>
      <c r="B154" s="1531"/>
      <c r="C154" s="791">
        <f t="shared" ref="C154:AB154" si="18">SUM(C79:C153)</f>
        <v>238460.23000000004</v>
      </c>
      <c r="D154" s="805">
        <f t="shared" si="18"/>
        <v>100491.06</v>
      </c>
      <c r="E154" s="853">
        <f t="shared" si="18"/>
        <v>215170.18000000002</v>
      </c>
      <c r="F154" s="853">
        <f t="shared" si="18"/>
        <v>140829.41</v>
      </c>
      <c r="G154" s="853">
        <f t="shared" si="18"/>
        <v>221325.72000000003</v>
      </c>
      <c r="H154" s="854">
        <f t="shared" si="18"/>
        <v>106991.09</v>
      </c>
      <c r="I154" s="853">
        <f t="shared" si="18"/>
        <v>213930.04</v>
      </c>
      <c r="J154" s="854">
        <f t="shared" si="18"/>
        <v>115177.02</v>
      </c>
      <c r="K154" s="853">
        <f t="shared" si="18"/>
        <v>249029.69</v>
      </c>
      <c r="L154" s="854">
        <f t="shared" si="18"/>
        <v>131578.49</v>
      </c>
      <c r="M154" s="853">
        <f t="shared" si="18"/>
        <v>300128.49</v>
      </c>
      <c r="N154" s="854">
        <f>SUM(N79:N153)</f>
        <v>146938.93</v>
      </c>
      <c r="O154" s="853">
        <f t="shared" si="18"/>
        <v>324111.37</v>
      </c>
      <c r="P154" s="853">
        <f t="shared" si="18"/>
        <v>1171781.1100000001</v>
      </c>
      <c r="Q154" s="853">
        <f t="shared" si="18"/>
        <v>60396.19</v>
      </c>
      <c r="R154" s="854">
        <f t="shared" si="18"/>
        <v>15263.97</v>
      </c>
      <c r="S154" s="853">
        <f t="shared" si="18"/>
        <v>285699.75999999989</v>
      </c>
      <c r="T154" s="854">
        <f t="shared" si="18"/>
        <v>163103.23000000001</v>
      </c>
      <c r="U154" s="853">
        <f t="shared" si="18"/>
        <v>273689.55</v>
      </c>
      <c r="V154" s="854">
        <f t="shared" si="18"/>
        <v>168743.54</v>
      </c>
      <c r="W154" s="853">
        <f t="shared" si="18"/>
        <v>249051.40999999997</v>
      </c>
      <c r="X154" s="854">
        <f t="shared" si="18"/>
        <v>154602.73000000001</v>
      </c>
      <c r="Y154" s="853">
        <f t="shared" si="18"/>
        <v>167078.34</v>
      </c>
      <c r="Z154" s="854">
        <f t="shared" si="18"/>
        <v>126420.76</v>
      </c>
      <c r="AA154" s="409">
        <f t="shared" si="18"/>
        <v>2798070.9700000007</v>
      </c>
      <c r="AB154" s="409">
        <f t="shared" si="18"/>
        <v>2541921.34</v>
      </c>
      <c r="AC154" s="1647">
        <f>AA154+AB154</f>
        <v>5339992.3100000005</v>
      </c>
      <c r="AD154" s="1648"/>
    </row>
    <row r="155" spans="1:31" ht="16.5" thickTop="1" thickBot="1" x14ac:dyDescent="0.3">
      <c r="E155" s="898"/>
      <c r="G155" s="898"/>
      <c r="I155" s="898"/>
      <c r="K155" s="898"/>
      <c r="M155" s="898"/>
      <c r="O155" s="898"/>
      <c r="Q155" s="898"/>
      <c r="S155" s="898"/>
      <c r="U155" s="898"/>
      <c r="W155" s="898"/>
      <c r="Y155" s="898"/>
      <c r="AC155" s="961"/>
    </row>
    <row r="156" spans="1:31" ht="20.25" customHeight="1" thickTop="1" thickBot="1" x14ac:dyDescent="0.3">
      <c r="A156" s="1578" t="s">
        <v>308</v>
      </c>
      <c r="B156" s="1579"/>
      <c r="C156" s="1614" t="s">
        <v>128</v>
      </c>
      <c r="D156" s="1615"/>
      <c r="E156" s="1524" t="s">
        <v>129</v>
      </c>
      <c r="F156" s="1525"/>
      <c r="G156" s="1524" t="s">
        <v>130</v>
      </c>
      <c r="H156" s="1525"/>
      <c r="I156" s="1524" t="s">
        <v>131</v>
      </c>
      <c r="J156" s="1525"/>
      <c r="K156" s="1524" t="s">
        <v>132</v>
      </c>
      <c r="L156" s="1525"/>
      <c r="M156" s="1524" t="s">
        <v>133</v>
      </c>
      <c r="N156" s="1525"/>
      <c r="O156" s="1524">
        <v>0</v>
      </c>
      <c r="P156" s="1525"/>
      <c r="Q156" s="1524" t="s">
        <v>135</v>
      </c>
      <c r="R156" s="1525"/>
      <c r="S156" s="1524" t="s">
        <v>136</v>
      </c>
      <c r="T156" s="1525"/>
      <c r="U156" s="1524" t="s">
        <v>137</v>
      </c>
      <c r="V156" s="1525"/>
      <c r="W156" s="1524" t="s">
        <v>138</v>
      </c>
      <c r="X156" s="1525"/>
      <c r="Y156" s="1524" t="s">
        <v>139</v>
      </c>
      <c r="Z156" s="1525"/>
      <c r="AA156" s="1532" t="s">
        <v>140</v>
      </c>
      <c r="AB156" s="1533"/>
      <c r="AC156" s="958"/>
    </row>
    <row r="157" spans="1:31" ht="20.25" thickTop="1" thickBot="1" x14ac:dyDescent="0.35">
      <c r="A157" s="1582"/>
      <c r="B157" s="1583"/>
      <c r="C157" s="773" t="s">
        <v>684</v>
      </c>
      <c r="D157" s="785" t="s">
        <v>683</v>
      </c>
      <c r="E157" s="798" t="s">
        <v>682</v>
      </c>
      <c r="F157" s="785" t="s">
        <v>683</v>
      </c>
      <c r="G157" s="798" t="s">
        <v>682</v>
      </c>
      <c r="H157" s="785" t="s">
        <v>683</v>
      </c>
      <c r="I157" s="798" t="s">
        <v>682</v>
      </c>
      <c r="J157" s="785" t="s">
        <v>683</v>
      </c>
      <c r="K157" s="798" t="s">
        <v>682</v>
      </c>
      <c r="L157" s="785" t="s">
        <v>683</v>
      </c>
      <c r="M157" s="798" t="s">
        <v>682</v>
      </c>
      <c r="N157" s="785" t="s">
        <v>683</v>
      </c>
      <c r="O157" s="798" t="s">
        <v>682</v>
      </c>
      <c r="P157" s="785" t="s">
        <v>683</v>
      </c>
      <c r="Q157" s="798" t="s">
        <v>682</v>
      </c>
      <c r="R157" s="785" t="s">
        <v>683</v>
      </c>
      <c r="S157" s="798" t="s">
        <v>682</v>
      </c>
      <c r="T157" s="785" t="s">
        <v>683</v>
      </c>
      <c r="U157" s="798" t="s">
        <v>682</v>
      </c>
      <c r="V157" s="785" t="s">
        <v>683</v>
      </c>
      <c r="W157" s="798" t="s">
        <v>682</v>
      </c>
      <c r="X157" s="785" t="s">
        <v>683</v>
      </c>
      <c r="Y157" s="798" t="s">
        <v>682</v>
      </c>
      <c r="Z157" s="936" t="s">
        <v>683</v>
      </c>
      <c r="AA157" s="798" t="s">
        <v>682</v>
      </c>
      <c r="AB157" s="774" t="s">
        <v>683</v>
      </c>
      <c r="AC157" s="958"/>
    </row>
    <row r="158" spans="1:31" ht="20.25" thickTop="1" thickBot="1" x14ac:dyDescent="0.35">
      <c r="A158" s="1573" t="s">
        <v>309</v>
      </c>
      <c r="B158" s="1574"/>
      <c r="C158" s="410"/>
      <c r="D158" s="792"/>
      <c r="E158" s="855"/>
      <c r="F158" s="857"/>
      <c r="G158" s="855"/>
      <c r="H158" s="857"/>
      <c r="I158" s="855"/>
      <c r="J158" s="857"/>
      <c r="K158" s="855"/>
      <c r="L158" s="857"/>
      <c r="M158" s="855"/>
      <c r="N158" s="857"/>
      <c r="O158" s="855"/>
      <c r="P158" s="857"/>
      <c r="Q158" s="855"/>
      <c r="R158" s="857"/>
      <c r="S158" s="855"/>
      <c r="T158" s="857"/>
      <c r="U158" s="855"/>
      <c r="V158" s="857"/>
      <c r="W158" s="855"/>
      <c r="X158" s="857"/>
      <c r="Y158" s="855"/>
      <c r="Z158" s="857"/>
      <c r="AA158" s="944">
        <f t="shared" ref="AA158:AB161" si="19">C158+E158+G158+I158+K158+M158+O158+Q158+S158+U158+W158+Y158</f>
        <v>0</v>
      </c>
      <c r="AB158" s="946">
        <f t="shared" si="19"/>
        <v>0</v>
      </c>
      <c r="AC158" s="959"/>
      <c r="AD158" s="555"/>
      <c r="AE158" s="555"/>
    </row>
    <row r="159" spans="1:31" ht="20.25" thickTop="1" thickBot="1" x14ac:dyDescent="0.35">
      <c r="A159" s="1573" t="s">
        <v>310</v>
      </c>
      <c r="B159" s="1574"/>
      <c r="C159" s="411"/>
      <c r="D159" s="793"/>
      <c r="E159" s="856"/>
      <c r="F159" s="819"/>
      <c r="G159" s="856"/>
      <c r="H159" s="819"/>
      <c r="I159" s="856"/>
      <c r="J159" s="819"/>
      <c r="K159" s="856"/>
      <c r="L159" s="819"/>
      <c r="M159" s="856"/>
      <c r="N159" s="819"/>
      <c r="O159" s="856"/>
      <c r="P159" s="819"/>
      <c r="Q159" s="856"/>
      <c r="R159" s="819"/>
      <c r="S159" s="856"/>
      <c r="T159" s="819"/>
      <c r="U159" s="856"/>
      <c r="V159" s="819"/>
      <c r="W159" s="856"/>
      <c r="X159" s="819"/>
      <c r="Y159" s="856"/>
      <c r="Z159" s="819"/>
      <c r="AA159" s="945">
        <f t="shared" si="19"/>
        <v>0</v>
      </c>
      <c r="AB159" s="947">
        <f t="shared" si="19"/>
        <v>0</v>
      </c>
      <c r="AC159" s="959"/>
    </row>
    <row r="160" spans="1:31" ht="16.5" thickTop="1" thickBot="1" x14ac:dyDescent="0.3">
      <c r="E160" s="899"/>
      <c r="G160" s="899"/>
      <c r="I160" s="899"/>
      <c r="K160" s="899"/>
      <c r="M160" s="899"/>
      <c r="O160" s="899"/>
      <c r="Q160" s="899"/>
      <c r="S160" s="899"/>
      <c r="U160" s="899"/>
      <c r="W160" s="899"/>
      <c r="Y160" s="899"/>
      <c r="AC160" s="961"/>
    </row>
    <row r="161" spans="1:29" ht="20.25" thickTop="1" thickBot="1" x14ac:dyDescent="0.35">
      <c r="A161" s="1637" t="s">
        <v>311</v>
      </c>
      <c r="B161" s="1638"/>
      <c r="C161" s="794">
        <f>C$154+C$159</f>
        <v>238460.23000000004</v>
      </c>
      <c r="D161" s="794">
        <f>D$154+D$159</f>
        <v>100491.06</v>
      </c>
      <c r="E161" s="797">
        <f t="shared" ref="E161:Z161" si="20">E$154+E$159</f>
        <v>215170.18000000002</v>
      </c>
      <c r="F161" s="794">
        <f t="shared" si="20"/>
        <v>140829.41</v>
      </c>
      <c r="G161" s="797">
        <f t="shared" si="20"/>
        <v>221325.72000000003</v>
      </c>
      <c r="H161" s="794">
        <f t="shared" si="20"/>
        <v>106991.09</v>
      </c>
      <c r="I161" s="797">
        <f t="shared" si="20"/>
        <v>213930.04</v>
      </c>
      <c r="J161" s="909">
        <f t="shared" si="20"/>
        <v>115177.02</v>
      </c>
      <c r="K161" s="797">
        <f t="shared" si="20"/>
        <v>249029.69</v>
      </c>
      <c r="L161" s="794">
        <f t="shared" si="20"/>
        <v>131578.49</v>
      </c>
      <c r="M161" s="797">
        <f t="shared" si="20"/>
        <v>300128.49</v>
      </c>
      <c r="N161" s="794">
        <f t="shared" si="20"/>
        <v>146938.93</v>
      </c>
      <c r="O161" s="797">
        <f t="shared" si="20"/>
        <v>324111.37</v>
      </c>
      <c r="P161" s="909">
        <f t="shared" si="20"/>
        <v>1171781.1100000001</v>
      </c>
      <c r="Q161" s="797">
        <f t="shared" si="20"/>
        <v>60396.19</v>
      </c>
      <c r="R161" s="794">
        <f t="shared" si="20"/>
        <v>15263.97</v>
      </c>
      <c r="S161" s="797">
        <f t="shared" si="20"/>
        <v>285699.75999999989</v>
      </c>
      <c r="T161" s="794">
        <f t="shared" si="20"/>
        <v>163103.23000000001</v>
      </c>
      <c r="U161" s="797">
        <f t="shared" si="20"/>
        <v>273689.55</v>
      </c>
      <c r="V161" s="909">
        <f t="shared" si="20"/>
        <v>168743.54</v>
      </c>
      <c r="W161" s="797">
        <f t="shared" si="20"/>
        <v>249051.40999999997</v>
      </c>
      <c r="X161" s="794">
        <f t="shared" si="20"/>
        <v>154602.73000000001</v>
      </c>
      <c r="Y161" s="797">
        <f t="shared" si="20"/>
        <v>167078.34</v>
      </c>
      <c r="Z161" s="909">
        <f t="shared" si="20"/>
        <v>126420.76</v>
      </c>
      <c r="AA161" s="948">
        <f t="shared" si="19"/>
        <v>2798070.9699999997</v>
      </c>
      <c r="AB161" s="949">
        <f t="shared" si="19"/>
        <v>2541921.34</v>
      </c>
      <c r="AC161" s="959"/>
    </row>
    <row r="162" spans="1:29" ht="16.5" thickTop="1" thickBot="1" x14ac:dyDescent="0.3">
      <c r="AC162" s="961"/>
    </row>
    <row r="163" spans="1:29" ht="24" customHeight="1" thickTop="1" thickBot="1" x14ac:dyDescent="0.3">
      <c r="A163" s="1628" t="s">
        <v>1073</v>
      </c>
      <c r="B163" s="1611" t="s">
        <v>1074</v>
      </c>
      <c r="C163" s="1612"/>
      <c r="D163" s="1612"/>
      <c r="E163" s="1612"/>
      <c r="F163" s="1612"/>
      <c r="G163" s="1612"/>
      <c r="H163" s="1612"/>
      <c r="I163" s="1613"/>
      <c r="J163" s="429">
        <v>8</v>
      </c>
      <c r="AC163" s="961"/>
    </row>
    <row r="164" spans="1:29" ht="24" customHeight="1" thickTop="1" thickBot="1" x14ac:dyDescent="0.3">
      <c r="A164" s="1629"/>
      <c r="B164" s="1031"/>
      <c r="C164" s="1028"/>
      <c r="D164" s="1028"/>
      <c r="E164" s="1028"/>
      <c r="F164" s="1028"/>
      <c r="G164" s="1028"/>
      <c r="H164" s="1028"/>
      <c r="I164" s="1028"/>
      <c r="J164" s="1032"/>
      <c r="AC164" s="961"/>
    </row>
    <row r="165" spans="1:29" ht="25.5" customHeight="1" thickTop="1" thickBot="1" x14ac:dyDescent="0.3">
      <c r="A165" s="1629"/>
      <c r="B165" s="1626"/>
      <c r="C165" s="1625" t="s">
        <v>128</v>
      </c>
      <c r="D165" s="1560"/>
      <c r="E165" s="1559" t="s">
        <v>129</v>
      </c>
      <c r="F165" s="1560"/>
      <c r="G165" s="1559" t="s">
        <v>130</v>
      </c>
      <c r="H165" s="1561"/>
      <c r="I165" s="1559" t="s">
        <v>131</v>
      </c>
      <c r="J165" s="1561"/>
      <c r="K165" s="1559" t="s">
        <v>132</v>
      </c>
      <c r="L165" s="1560"/>
      <c r="M165" s="1559" t="s">
        <v>133</v>
      </c>
      <c r="N165" s="1561"/>
      <c r="O165" s="1559" t="s">
        <v>134</v>
      </c>
      <c r="P165" s="1561"/>
      <c r="Q165" s="1559" t="s">
        <v>135</v>
      </c>
      <c r="R165" s="1561"/>
      <c r="S165" s="1559" t="s">
        <v>136</v>
      </c>
      <c r="T165" s="1561"/>
      <c r="U165" s="1559" t="s">
        <v>137</v>
      </c>
      <c r="V165" s="1560"/>
      <c r="W165" s="1559" t="s">
        <v>138</v>
      </c>
      <c r="X165" s="1561"/>
      <c r="Y165" s="1559" t="s">
        <v>139</v>
      </c>
      <c r="Z165" s="1561"/>
      <c r="AA165" s="1562" t="s">
        <v>140</v>
      </c>
      <c r="AB165" s="1563"/>
      <c r="AC165" s="962"/>
    </row>
    <row r="166" spans="1:29" ht="22.5" customHeight="1" thickTop="1" thickBot="1" x14ac:dyDescent="0.3">
      <c r="A166" s="1630"/>
      <c r="B166" s="1627"/>
      <c r="C166" s="806" t="s">
        <v>682</v>
      </c>
      <c r="D166" s="858" t="s">
        <v>683</v>
      </c>
      <c r="E166" s="867" t="s">
        <v>682</v>
      </c>
      <c r="F166" s="880" t="s">
        <v>683</v>
      </c>
      <c r="G166" s="867" t="s">
        <v>682</v>
      </c>
      <c r="H166" s="900" t="s">
        <v>683</v>
      </c>
      <c r="I166" s="867" t="s">
        <v>682</v>
      </c>
      <c r="J166" s="900" t="s">
        <v>683</v>
      </c>
      <c r="K166" s="867" t="s">
        <v>682</v>
      </c>
      <c r="L166" s="880" t="s">
        <v>683</v>
      </c>
      <c r="M166" s="867" t="s">
        <v>682</v>
      </c>
      <c r="N166" s="900" t="s">
        <v>683</v>
      </c>
      <c r="O166" s="867" t="s">
        <v>682</v>
      </c>
      <c r="P166" s="900" t="s">
        <v>683</v>
      </c>
      <c r="Q166" s="867" t="s">
        <v>682</v>
      </c>
      <c r="R166" s="900" t="s">
        <v>683</v>
      </c>
      <c r="S166" s="867" t="s">
        <v>682</v>
      </c>
      <c r="T166" s="900" t="s">
        <v>683</v>
      </c>
      <c r="U166" s="867" t="s">
        <v>682</v>
      </c>
      <c r="V166" s="880" t="s">
        <v>683</v>
      </c>
      <c r="W166" s="867" t="s">
        <v>682</v>
      </c>
      <c r="X166" s="900" t="s">
        <v>683</v>
      </c>
      <c r="Y166" s="867" t="s">
        <v>682</v>
      </c>
      <c r="Z166" s="900" t="s">
        <v>683</v>
      </c>
      <c r="AA166" s="950" t="s">
        <v>682</v>
      </c>
      <c r="AB166" s="951" t="s">
        <v>683</v>
      </c>
      <c r="AC166" s="958"/>
    </row>
    <row r="167" spans="1:29" ht="21.95" customHeight="1" thickTop="1" thickBot="1" x14ac:dyDescent="0.3">
      <c r="A167" s="1571" t="s">
        <v>251</v>
      </c>
      <c r="B167" s="1476" t="s">
        <v>297</v>
      </c>
      <c r="C167" s="1437" t="s">
        <v>252</v>
      </c>
      <c r="D167" s="859"/>
      <c r="E167" s="868" t="s">
        <v>252</v>
      </c>
      <c r="F167" s="881"/>
      <c r="G167" s="1438" t="s">
        <v>252</v>
      </c>
      <c r="H167" s="901"/>
      <c r="I167" s="868" t="s">
        <v>252</v>
      </c>
      <c r="J167" s="901"/>
      <c r="K167" s="868" t="s">
        <v>252</v>
      </c>
      <c r="L167" s="881"/>
      <c r="M167" s="868" t="s">
        <v>252</v>
      </c>
      <c r="N167" s="901"/>
      <c r="O167" s="868" t="s">
        <v>252</v>
      </c>
      <c r="P167" s="901"/>
      <c r="Q167" s="868" t="s">
        <v>252</v>
      </c>
      <c r="R167" s="901"/>
      <c r="S167" s="868" t="s">
        <v>252</v>
      </c>
      <c r="T167" s="901"/>
      <c r="U167" s="868" t="s">
        <v>252</v>
      </c>
      <c r="V167" s="881"/>
      <c r="W167" s="868" t="s">
        <v>252</v>
      </c>
      <c r="X167" s="901"/>
      <c r="Y167" s="868" t="s">
        <v>252</v>
      </c>
      <c r="Z167" s="901"/>
      <c r="AA167" s="952" t="s">
        <v>252</v>
      </c>
      <c r="AB167" s="952" t="s">
        <v>252</v>
      </c>
      <c r="AC167" s="963"/>
    </row>
    <row r="168" spans="1:29" ht="21.95" customHeight="1" thickTop="1" thickBot="1" x14ac:dyDescent="0.3">
      <c r="A168" s="1571"/>
      <c r="B168" s="1476" t="s">
        <v>298</v>
      </c>
      <c r="C168" s="1147">
        <v>1</v>
      </c>
      <c r="D168" s="860"/>
      <c r="E168" s="1014">
        <v>1</v>
      </c>
      <c r="F168" s="1021"/>
      <c r="G168" s="1135">
        <v>0.8</v>
      </c>
      <c r="H168" s="1019"/>
      <c r="I168" s="1135">
        <v>0.95</v>
      </c>
      <c r="J168" s="1265"/>
      <c r="K168" s="1014">
        <v>0.96699999999999997</v>
      </c>
      <c r="L168" s="1266"/>
      <c r="M168" s="1014">
        <v>0.95</v>
      </c>
      <c r="N168" s="1019"/>
      <c r="O168" s="1014">
        <v>0.9</v>
      </c>
      <c r="P168" s="1019"/>
      <c r="Q168" s="1218">
        <v>1</v>
      </c>
      <c r="R168" s="902"/>
      <c r="S168" s="1014">
        <v>1</v>
      </c>
      <c r="T168" s="1219"/>
      <c r="U168" s="1014">
        <v>1</v>
      </c>
      <c r="V168" s="1021"/>
      <c r="W168" s="1014">
        <v>0.98299999999999998</v>
      </c>
      <c r="X168" s="1019"/>
      <c r="Y168" s="1218">
        <v>1</v>
      </c>
      <c r="Z168" s="1219"/>
      <c r="AA168" s="953">
        <f>AVERAGE(C168,E168,G168,I168,K168,M168,O168,Q168,S168,U168,W168,Y168)</f>
        <v>0.96250000000000002</v>
      </c>
      <c r="AB168" s="953" t="e">
        <f>AVERAGE(D168,F168,H168,J168,L168,N168,P168,R168,T168,V168,X168,Z168)</f>
        <v>#DIV/0!</v>
      </c>
      <c r="AC168" s="964"/>
    </row>
    <row r="169" spans="1:29" ht="21.95" hidden="1" customHeight="1" thickTop="1" thickBot="1" x14ac:dyDescent="0.3">
      <c r="A169" s="1571" t="s">
        <v>253</v>
      </c>
      <c r="B169" s="1476">
        <v>8</v>
      </c>
      <c r="C169" s="413"/>
      <c r="D169" s="861"/>
      <c r="E169" s="870"/>
      <c r="F169" s="883"/>
      <c r="G169" s="870"/>
      <c r="H169" s="903"/>
      <c r="I169" s="870"/>
      <c r="J169" s="903"/>
      <c r="K169" s="870"/>
      <c r="L169" s="883"/>
      <c r="M169" s="870"/>
      <c r="N169" s="903"/>
      <c r="O169" s="870"/>
      <c r="P169" s="903"/>
      <c r="Q169" s="870"/>
      <c r="R169" s="903"/>
      <c r="S169" s="870"/>
      <c r="T169" s="903"/>
      <c r="U169" s="870"/>
      <c r="V169" s="883"/>
      <c r="W169" s="870"/>
      <c r="X169" s="1219"/>
      <c r="Y169" s="870"/>
      <c r="Z169" s="903"/>
      <c r="AA169" s="954" t="s">
        <v>252</v>
      </c>
      <c r="AB169" s="954" t="s">
        <v>252</v>
      </c>
      <c r="AC169" s="962"/>
    </row>
    <row r="170" spans="1:29" ht="21.95" hidden="1" customHeight="1" thickTop="1" thickBot="1" x14ac:dyDescent="0.3">
      <c r="A170" s="1571"/>
      <c r="B170" s="1476" t="s">
        <v>298</v>
      </c>
      <c r="C170" s="412"/>
      <c r="D170" s="1152"/>
      <c r="E170" s="869"/>
      <c r="F170" s="1021"/>
      <c r="G170" s="869"/>
      <c r="H170" s="1019"/>
      <c r="I170" s="869"/>
      <c r="J170" s="902"/>
      <c r="K170" s="869"/>
      <c r="L170" s="1022"/>
      <c r="M170" s="1014"/>
      <c r="N170" s="1019"/>
      <c r="O170" s="1014"/>
      <c r="P170" s="902"/>
      <c r="Q170" s="869"/>
      <c r="R170" s="1219"/>
      <c r="S170" s="1014"/>
      <c r="T170" s="1019"/>
      <c r="U170" s="1218"/>
      <c r="V170" s="1221"/>
      <c r="W170" s="1015"/>
      <c r="X170" s="1019"/>
      <c r="Y170" s="869"/>
      <c r="Z170" s="902"/>
      <c r="AA170" s="955" t="e">
        <f>AVERAGE(C170,E170,G170,I170,K170,M170,O170,Q170,S170,U170,W170,Y170)</f>
        <v>#DIV/0!</v>
      </c>
      <c r="AB170" s="955" t="e">
        <f>AVERAGE(D170,F170,H170,J170,L170,N170,P170,R170,T170,V170,X170,Z170)</f>
        <v>#DIV/0!</v>
      </c>
      <c r="AC170" s="964"/>
    </row>
    <row r="171" spans="1:29" ht="21.95" customHeight="1" thickTop="1" thickBot="1" x14ac:dyDescent="0.3">
      <c r="A171" s="1571" t="s">
        <v>1006</v>
      </c>
      <c r="B171" s="1476" t="s">
        <v>297</v>
      </c>
      <c r="C171" s="413"/>
      <c r="D171" s="861"/>
      <c r="E171" s="870"/>
      <c r="F171" s="883"/>
      <c r="G171" s="870" t="s">
        <v>252</v>
      </c>
      <c r="H171" s="903"/>
      <c r="I171" s="1136" t="s">
        <v>252</v>
      </c>
      <c r="J171" s="903"/>
      <c r="K171" s="870"/>
      <c r="L171" s="883"/>
      <c r="M171" s="870" t="s">
        <v>252</v>
      </c>
      <c r="N171" s="903"/>
      <c r="O171" s="870"/>
      <c r="P171" s="903"/>
      <c r="Q171" s="870"/>
      <c r="R171" s="903"/>
      <c r="S171" s="870" t="s">
        <v>252</v>
      </c>
      <c r="T171" s="903"/>
      <c r="U171" s="870" t="s">
        <v>252</v>
      </c>
      <c r="V171" s="883"/>
      <c r="W171" s="870" t="s">
        <v>252</v>
      </c>
      <c r="X171" s="903"/>
      <c r="Y171" s="870"/>
      <c r="Z171" s="903"/>
      <c r="AA171" s="952" t="s">
        <v>252</v>
      </c>
      <c r="AB171" s="952" t="s">
        <v>252</v>
      </c>
      <c r="AC171" s="963"/>
    </row>
    <row r="172" spans="1:29" ht="21.95" customHeight="1" thickTop="1" thickBot="1" x14ac:dyDescent="0.3">
      <c r="A172" s="1571"/>
      <c r="B172" s="1476" t="s">
        <v>298</v>
      </c>
      <c r="C172" s="1147"/>
      <c r="D172" s="860"/>
      <c r="E172" s="1014"/>
      <c r="F172" s="882"/>
      <c r="G172" s="1135">
        <v>1</v>
      </c>
      <c r="H172" s="1020"/>
      <c r="I172" s="1135">
        <v>1</v>
      </c>
      <c r="J172" s="902"/>
      <c r="K172" s="1014"/>
      <c r="L172" s="1021"/>
      <c r="M172" s="1014">
        <v>1</v>
      </c>
      <c r="N172" s="902"/>
      <c r="O172" s="1014"/>
      <c r="P172" s="902"/>
      <c r="Q172" s="1015"/>
      <c r="R172" s="902"/>
      <c r="S172" s="1014">
        <v>0.9</v>
      </c>
      <c r="T172" s="902"/>
      <c r="U172" s="1218">
        <v>1</v>
      </c>
      <c r="V172" s="882"/>
      <c r="W172" s="1014">
        <v>1</v>
      </c>
      <c r="X172" s="902"/>
      <c r="Y172" s="1223"/>
      <c r="Z172" s="902"/>
      <c r="AA172" s="953">
        <f>AVERAGE(C172,E172,G172,I172,K172,M172,O172,Q172,S172,U172,W172,Y172)</f>
        <v>0.98333333333333339</v>
      </c>
      <c r="AB172" s="953" t="e">
        <f>AVERAGE(D172,F172,H172,J172,L172,N172,P172,R172,T172,V172,X172,Z172)</f>
        <v>#DIV/0!</v>
      </c>
      <c r="AC172" s="964"/>
    </row>
    <row r="173" spans="1:29" ht="21.95" customHeight="1" thickTop="1" thickBot="1" x14ac:dyDescent="0.3">
      <c r="A173" s="1571" t="s">
        <v>255</v>
      </c>
      <c r="B173" s="1476" t="s">
        <v>297</v>
      </c>
      <c r="C173" s="413"/>
      <c r="D173" s="861"/>
      <c r="E173" s="870" t="s">
        <v>252</v>
      </c>
      <c r="F173" s="883"/>
      <c r="G173" s="870" t="s">
        <v>252</v>
      </c>
      <c r="H173" s="903"/>
      <c r="I173" s="870"/>
      <c r="J173" s="903"/>
      <c r="K173" s="870" t="s">
        <v>252</v>
      </c>
      <c r="L173" s="883"/>
      <c r="M173" s="870" t="s">
        <v>252</v>
      </c>
      <c r="N173" s="903"/>
      <c r="O173" s="870" t="s">
        <v>252</v>
      </c>
      <c r="P173" s="903"/>
      <c r="Q173" s="870"/>
      <c r="R173" s="903"/>
      <c r="S173" s="870" t="s">
        <v>252</v>
      </c>
      <c r="T173" s="903"/>
      <c r="U173" s="870" t="s">
        <v>252</v>
      </c>
      <c r="V173" s="883"/>
      <c r="W173" s="870"/>
      <c r="X173" s="903"/>
      <c r="Y173" s="870" t="s">
        <v>252</v>
      </c>
      <c r="Z173" s="903"/>
      <c r="AA173" s="954" t="s">
        <v>252</v>
      </c>
      <c r="AB173" s="954" t="s">
        <v>252</v>
      </c>
      <c r="AC173" s="962"/>
    </row>
    <row r="174" spans="1:29" ht="21.95" customHeight="1" thickTop="1" thickBot="1" x14ac:dyDescent="0.3">
      <c r="A174" s="1571"/>
      <c r="B174" s="1476" t="s">
        <v>298</v>
      </c>
      <c r="C174" s="1149"/>
      <c r="D174" s="860"/>
      <c r="E174" s="1014">
        <v>0.85</v>
      </c>
      <c r="F174" s="882"/>
      <c r="G174" s="1014">
        <v>0.92500000000000004</v>
      </c>
      <c r="H174" s="1019"/>
      <c r="I174" s="1014"/>
      <c r="J174" s="1019"/>
      <c r="K174" s="1014">
        <v>0.96699999999999997</v>
      </c>
      <c r="L174" s="1021"/>
      <c r="M174" s="1014">
        <v>0.98199999999999998</v>
      </c>
      <c r="N174" s="902"/>
      <c r="O174" s="1014">
        <v>0.93300000000000005</v>
      </c>
      <c r="P174" s="902"/>
      <c r="Q174" s="1014"/>
      <c r="R174" s="902"/>
      <c r="S174" s="1014">
        <v>0.9</v>
      </c>
      <c r="T174" s="1219"/>
      <c r="U174" s="1135">
        <v>1</v>
      </c>
      <c r="V174" s="1021"/>
      <c r="W174" s="1014"/>
      <c r="X174" s="1219"/>
      <c r="Y174" s="1222">
        <v>0.91400000000000003</v>
      </c>
      <c r="Z174" s="902"/>
      <c r="AA174" s="955">
        <f>AVERAGE(C174,E174,G174,I174,K174,M174,O174,Q174,S174,U174,W174,Y174)</f>
        <v>0.93387500000000001</v>
      </c>
      <c r="AB174" s="955" t="e">
        <f>AVERAGE(D174,F174,H174,J174,L174,N174,P174,R174,T174,V174,X174,Z174)</f>
        <v>#DIV/0!</v>
      </c>
      <c r="AC174" s="964"/>
    </row>
    <row r="175" spans="1:29" ht="21.95" customHeight="1" thickTop="1" thickBot="1" x14ac:dyDescent="0.3">
      <c r="A175" s="1571" t="s">
        <v>256</v>
      </c>
      <c r="B175" s="1476" t="s">
        <v>297</v>
      </c>
      <c r="C175" s="1148"/>
      <c r="D175" s="862"/>
      <c r="E175" s="1136"/>
      <c r="F175" s="883"/>
      <c r="G175" s="1136"/>
      <c r="H175" s="903"/>
      <c r="I175" s="1136" t="s">
        <v>252</v>
      </c>
      <c r="J175" s="903"/>
      <c r="K175" s="1136"/>
      <c r="L175" s="883"/>
      <c r="M175" s="1153"/>
      <c r="N175" s="903"/>
      <c r="O175" s="1153" t="s">
        <v>252</v>
      </c>
      <c r="P175" s="903"/>
      <c r="Q175" s="871"/>
      <c r="R175" s="903"/>
      <c r="S175" s="1136"/>
      <c r="T175" s="903"/>
      <c r="U175" s="1136" t="s">
        <v>252</v>
      </c>
      <c r="V175" s="883"/>
      <c r="W175" s="1136"/>
      <c r="X175" s="903"/>
      <c r="Y175" s="1136"/>
      <c r="Z175" s="903"/>
      <c r="AA175" s="956" t="s">
        <v>252</v>
      </c>
      <c r="AB175" s="956" t="s">
        <v>252</v>
      </c>
      <c r="AC175" s="965"/>
    </row>
    <row r="176" spans="1:29" ht="21.95" customHeight="1" thickTop="1" thickBot="1" x14ac:dyDescent="0.3">
      <c r="A176" s="1571"/>
      <c r="B176" s="1476" t="s">
        <v>298</v>
      </c>
      <c r="C176" s="1147"/>
      <c r="D176" s="863"/>
      <c r="E176" s="1015"/>
      <c r="F176" s="882"/>
      <c r="G176" s="1135"/>
      <c r="H176" s="902"/>
      <c r="I176" s="1135">
        <v>1</v>
      </c>
      <c r="J176" s="902"/>
      <c r="K176" s="1135"/>
      <c r="L176" s="882"/>
      <c r="M176" s="1135"/>
      <c r="N176" s="902"/>
      <c r="O176" s="1135">
        <v>1</v>
      </c>
      <c r="P176" s="902"/>
      <c r="Q176" s="872"/>
      <c r="R176" s="902"/>
      <c r="S176" s="1135"/>
      <c r="T176" s="902"/>
      <c r="U176" s="1135">
        <v>1</v>
      </c>
      <c r="V176" s="882"/>
      <c r="W176" s="1222"/>
      <c r="X176" s="902"/>
      <c r="Y176" s="1223"/>
      <c r="Z176" s="902"/>
      <c r="AA176" s="953">
        <f>AVERAGE(C176,E176,G176,I176,K176,M176,O176,Q176,S176,U176,W176,Y176)</f>
        <v>1</v>
      </c>
      <c r="AB176" s="953" t="e">
        <f>AVERAGE(D176,F176,H176,J176,L176,N176,P176,R176,T176,V176,X176,Z176)</f>
        <v>#DIV/0!</v>
      </c>
      <c r="AC176" s="964"/>
    </row>
    <row r="177" spans="1:29" ht="21.95" hidden="1" customHeight="1" thickTop="1" thickBot="1" x14ac:dyDescent="0.3">
      <c r="A177" s="1571" t="s">
        <v>257</v>
      </c>
      <c r="B177" s="1476" t="s">
        <v>297</v>
      </c>
      <c r="C177" s="413"/>
      <c r="D177" s="861"/>
      <c r="E177" s="870"/>
      <c r="F177" s="883"/>
      <c r="G177" s="870"/>
      <c r="H177" s="903"/>
      <c r="I177" s="870" t="s">
        <v>252</v>
      </c>
      <c r="J177" s="903"/>
      <c r="K177" s="870"/>
      <c r="L177" s="883"/>
      <c r="M177" s="870" t="s">
        <v>252</v>
      </c>
      <c r="N177" s="903"/>
      <c r="O177" s="870"/>
      <c r="P177" s="903"/>
      <c r="Q177" s="870"/>
      <c r="R177" s="903"/>
      <c r="S177" s="870"/>
      <c r="T177" s="903"/>
      <c r="U177" s="870"/>
      <c r="V177" s="883"/>
      <c r="W177" s="870"/>
      <c r="X177" s="903"/>
      <c r="Y177" s="870"/>
      <c r="Z177" s="903"/>
      <c r="AA177" s="957" t="s">
        <v>252</v>
      </c>
      <c r="AB177" s="957" t="s">
        <v>252</v>
      </c>
      <c r="AC177" s="966"/>
    </row>
    <row r="178" spans="1:29" ht="21.95" hidden="1" customHeight="1" thickTop="1" thickBot="1" x14ac:dyDescent="0.3">
      <c r="A178" s="1571"/>
      <c r="B178" s="1476" t="s">
        <v>298</v>
      </c>
      <c r="C178" s="412"/>
      <c r="D178" s="860"/>
      <c r="E178" s="869"/>
      <c r="F178" s="882"/>
      <c r="G178" s="869"/>
      <c r="H178" s="902"/>
      <c r="I178" s="1014">
        <v>0.8</v>
      </c>
      <c r="J178" s="902"/>
      <c r="K178" s="869"/>
      <c r="L178" s="882"/>
      <c r="M178" s="1014">
        <v>1</v>
      </c>
      <c r="N178" s="902"/>
      <c r="O178" s="869"/>
      <c r="P178" s="902"/>
      <c r="Q178" s="869"/>
      <c r="R178" s="902"/>
      <c r="S178" s="869"/>
      <c r="T178" s="902"/>
      <c r="U178" s="869"/>
      <c r="V178" s="882"/>
      <c r="W178" s="869"/>
      <c r="X178" s="902"/>
      <c r="Y178" s="1014"/>
      <c r="Z178" s="902"/>
      <c r="AA178" s="955">
        <f>AVERAGE(C178,E178,G178,I178,K178,M178,O178,Q178,S178,U178,W178,Y178)</f>
        <v>0.9</v>
      </c>
      <c r="AB178" s="955" t="e">
        <f>AVERAGE(D178,F178,H178,J178,L178,N178,P178,R178,T178,V178,X178,Z178)</f>
        <v>#DIV/0!</v>
      </c>
      <c r="AC178" s="964"/>
    </row>
    <row r="179" spans="1:29" ht="21.95" hidden="1" customHeight="1" thickTop="1" thickBot="1" x14ac:dyDescent="0.3">
      <c r="A179" s="1572" t="s">
        <v>258</v>
      </c>
      <c r="B179" s="1476" t="s">
        <v>297</v>
      </c>
      <c r="C179" s="413"/>
      <c r="D179" s="861"/>
      <c r="E179" s="870"/>
      <c r="F179" s="883"/>
      <c r="G179" s="870"/>
      <c r="H179" s="903"/>
      <c r="I179" s="870"/>
      <c r="J179" s="903"/>
      <c r="K179" s="870"/>
      <c r="L179" s="883"/>
      <c r="M179" s="870"/>
      <c r="N179" s="903"/>
      <c r="O179" s="870"/>
      <c r="P179" s="903"/>
      <c r="Q179" s="870"/>
      <c r="R179" s="903"/>
      <c r="S179" s="870"/>
      <c r="T179" s="903"/>
      <c r="U179" s="870"/>
      <c r="V179" s="883"/>
      <c r="W179" s="870"/>
      <c r="X179" s="903"/>
      <c r="Y179" s="870"/>
      <c r="Z179" s="903"/>
      <c r="AA179" s="956" t="s">
        <v>252</v>
      </c>
      <c r="AB179" s="956" t="s">
        <v>252</v>
      </c>
      <c r="AC179" s="965"/>
    </row>
    <row r="180" spans="1:29" ht="21.95" hidden="1" customHeight="1" thickTop="1" thickBot="1" x14ac:dyDescent="0.3">
      <c r="A180" s="1572"/>
      <c r="B180" s="1476" t="s">
        <v>298</v>
      </c>
      <c r="C180" s="412"/>
      <c r="D180" s="860"/>
      <c r="E180" s="869"/>
      <c r="F180" s="882"/>
      <c r="G180" s="869"/>
      <c r="H180" s="902"/>
      <c r="I180" s="869"/>
      <c r="J180" s="902"/>
      <c r="K180" s="869"/>
      <c r="L180" s="882"/>
      <c r="M180" s="1014"/>
      <c r="N180" s="902"/>
      <c r="O180" s="1218"/>
      <c r="P180" s="902"/>
      <c r="Q180" s="869"/>
      <c r="R180" s="902"/>
      <c r="S180" s="1014"/>
      <c r="T180" s="902"/>
      <c r="U180" s="869"/>
      <c r="V180" s="882"/>
      <c r="W180" s="869"/>
      <c r="X180" s="902"/>
      <c r="Y180" s="869"/>
      <c r="Z180" s="902"/>
      <c r="AA180" s="953" t="e">
        <f>AVERAGE(C180,E180,G180,I180,K180,M180,O180,Q180,S180,U180,W180,Y180)</f>
        <v>#DIV/0!</v>
      </c>
      <c r="AB180" s="953" t="e">
        <f>AVERAGE(D180,F180,H180,J180,L180,N180,P180,R180,T180,V180,X180,Z180)</f>
        <v>#DIV/0!</v>
      </c>
      <c r="AC180" s="964"/>
    </row>
    <row r="181" spans="1:29" ht="21.95" customHeight="1" thickTop="1" thickBot="1" x14ac:dyDescent="0.3">
      <c r="A181" s="1571" t="s">
        <v>259</v>
      </c>
      <c r="B181" s="1476" t="s">
        <v>297</v>
      </c>
      <c r="C181" s="413"/>
      <c r="D181" s="861"/>
      <c r="E181" s="870" t="s">
        <v>252</v>
      </c>
      <c r="F181" s="883"/>
      <c r="G181" s="870" t="s">
        <v>252</v>
      </c>
      <c r="H181" s="903"/>
      <c r="I181" s="870" t="s">
        <v>252</v>
      </c>
      <c r="J181" s="903"/>
      <c r="K181" s="870" t="s">
        <v>252</v>
      </c>
      <c r="L181" s="883"/>
      <c r="M181" s="870" t="s">
        <v>252</v>
      </c>
      <c r="N181" s="903"/>
      <c r="O181" s="870" t="s">
        <v>252</v>
      </c>
      <c r="P181" s="903"/>
      <c r="Q181" s="870"/>
      <c r="R181" s="903"/>
      <c r="S181" s="870" t="s">
        <v>252</v>
      </c>
      <c r="T181" s="903"/>
      <c r="U181" s="870" t="s">
        <v>252</v>
      </c>
      <c r="V181" s="883"/>
      <c r="W181" s="870" t="s">
        <v>252</v>
      </c>
      <c r="X181" s="903"/>
      <c r="Y181" s="870" t="s">
        <v>252</v>
      </c>
      <c r="Z181" s="903"/>
      <c r="AA181" s="954" t="s">
        <v>252</v>
      </c>
      <c r="AB181" s="954" t="s">
        <v>252</v>
      </c>
      <c r="AC181" s="962"/>
    </row>
    <row r="182" spans="1:29" ht="21.95" customHeight="1" thickTop="1" thickBot="1" x14ac:dyDescent="0.3">
      <c r="A182" s="1571"/>
      <c r="B182" s="1476" t="s">
        <v>298</v>
      </c>
      <c r="C182" s="1016"/>
      <c r="D182" s="860"/>
      <c r="E182" s="1135">
        <v>0.9</v>
      </c>
      <c r="F182" s="882"/>
      <c r="G182" s="1014">
        <v>0.9</v>
      </c>
      <c r="H182" s="902"/>
      <c r="I182" s="1014">
        <v>1</v>
      </c>
      <c r="J182" s="902"/>
      <c r="K182" s="1264">
        <v>0.9</v>
      </c>
      <c r="L182" s="882"/>
      <c r="M182" s="1222">
        <v>1</v>
      </c>
      <c r="N182" s="902"/>
      <c r="O182" s="1014">
        <v>0.9</v>
      </c>
      <c r="P182" s="902"/>
      <c r="Q182" s="869"/>
      <c r="R182" s="902"/>
      <c r="S182" s="1014">
        <v>1</v>
      </c>
      <c r="T182" s="902"/>
      <c r="U182" s="1222">
        <v>0.9</v>
      </c>
      <c r="V182" s="882"/>
      <c r="W182" s="1222">
        <v>0.9</v>
      </c>
      <c r="X182" s="902"/>
      <c r="Y182" s="1222">
        <v>0.8</v>
      </c>
      <c r="Z182" s="902"/>
      <c r="AA182" s="955">
        <f>AVERAGE(C182,E182,G182,I182,K182,M182,O182,Q182,S182,U182,W182,Y182)</f>
        <v>0.92000000000000015</v>
      </c>
      <c r="AB182" s="955" t="e">
        <f>AVERAGE(D182,F182,H182,J182,L182,N182,P182,R182,T182,V182,X182,Z182)</f>
        <v>#DIV/0!</v>
      </c>
      <c r="AC182" s="964"/>
    </row>
    <row r="183" spans="1:29" ht="21.95" hidden="1" customHeight="1" thickTop="1" thickBot="1" x14ac:dyDescent="0.3">
      <c r="A183" s="1571" t="s">
        <v>260</v>
      </c>
      <c r="B183" s="1476" t="s">
        <v>297</v>
      </c>
      <c r="C183" s="413"/>
      <c r="D183" s="861"/>
      <c r="E183" s="870"/>
      <c r="F183" s="883"/>
      <c r="G183" s="870" t="s">
        <v>252</v>
      </c>
      <c r="H183" s="903"/>
      <c r="I183" s="870" t="s">
        <v>252</v>
      </c>
      <c r="J183" s="903"/>
      <c r="K183" s="870"/>
      <c r="L183" s="883"/>
      <c r="M183" s="870"/>
      <c r="N183" s="903"/>
      <c r="O183" s="870"/>
      <c r="P183" s="903"/>
      <c r="Q183" s="870"/>
      <c r="R183" s="903"/>
      <c r="S183" s="870"/>
      <c r="T183" s="903"/>
      <c r="U183" s="870"/>
      <c r="V183" s="883"/>
      <c r="W183" s="870" t="s">
        <v>252</v>
      </c>
      <c r="X183" s="903"/>
      <c r="Y183" s="870"/>
      <c r="Z183" s="903"/>
      <c r="AA183" s="952" t="s">
        <v>252</v>
      </c>
      <c r="AB183" s="952" t="s">
        <v>252</v>
      </c>
      <c r="AC183" s="963"/>
    </row>
    <row r="184" spans="1:29" ht="21.95" hidden="1" customHeight="1" thickTop="1" thickBot="1" x14ac:dyDescent="0.3">
      <c r="A184" s="1571"/>
      <c r="B184" s="1476" t="s">
        <v>298</v>
      </c>
      <c r="C184" s="1147"/>
      <c r="D184" s="1151"/>
      <c r="E184" s="869"/>
      <c r="F184" s="882"/>
      <c r="G184" s="1446">
        <v>0.9</v>
      </c>
      <c r="H184" s="902"/>
      <c r="I184" s="1222">
        <v>0.9</v>
      </c>
      <c r="J184" s="1019"/>
      <c r="K184" s="1218"/>
      <c r="L184" s="882"/>
      <c r="M184" s="1014"/>
      <c r="N184" s="902"/>
      <c r="O184" s="869"/>
      <c r="P184" s="1020"/>
      <c r="Q184" s="869"/>
      <c r="R184" s="902"/>
      <c r="S184" s="1218"/>
      <c r="T184" s="1019"/>
      <c r="U184" s="869"/>
      <c r="V184" s="1021"/>
      <c r="W184" s="1014">
        <v>0.8</v>
      </c>
      <c r="X184" s="902"/>
      <c r="Y184" s="869"/>
      <c r="Z184" s="1219"/>
      <c r="AA184" s="953">
        <f>AVERAGE(C184,E184,G184,I184,K184,M184,O184,Q184,S184,U184,W184,Y184)</f>
        <v>0.8666666666666667</v>
      </c>
      <c r="AB184" s="953" t="e">
        <f>AVERAGE(D184,F184,H184,J184,L184,N184,P184,R184,T184,V184,X184,Z184)</f>
        <v>#DIV/0!</v>
      </c>
      <c r="AC184" s="964"/>
    </row>
    <row r="185" spans="1:29" ht="21.95" hidden="1" customHeight="1" thickTop="1" thickBot="1" x14ac:dyDescent="0.3">
      <c r="A185" s="1572" t="s">
        <v>261</v>
      </c>
      <c r="B185" s="1476" t="s">
        <v>297</v>
      </c>
      <c r="C185" s="413"/>
      <c r="D185" s="861"/>
      <c r="E185" s="870"/>
      <c r="F185" s="883"/>
      <c r="G185" s="870"/>
      <c r="H185" s="903"/>
      <c r="I185" s="870"/>
      <c r="J185" s="903"/>
      <c r="K185" s="870"/>
      <c r="L185" s="883"/>
      <c r="M185" s="870"/>
      <c r="N185" s="903"/>
      <c r="O185" s="870"/>
      <c r="P185" s="903"/>
      <c r="Q185" s="870"/>
      <c r="R185" s="903"/>
      <c r="S185" s="870"/>
      <c r="T185" s="903"/>
      <c r="U185" s="870"/>
      <c r="V185" s="883"/>
      <c r="W185" s="870"/>
      <c r="X185" s="903"/>
      <c r="Y185" s="870"/>
      <c r="Z185" s="903"/>
      <c r="AA185" s="957" t="s">
        <v>252</v>
      </c>
      <c r="AB185" s="957" t="s">
        <v>252</v>
      </c>
      <c r="AC185" s="966"/>
    </row>
    <row r="186" spans="1:29" ht="21.95" hidden="1" customHeight="1" thickTop="1" thickBot="1" x14ac:dyDescent="0.3">
      <c r="A186" s="1572"/>
      <c r="B186" s="1476" t="s">
        <v>298</v>
      </c>
      <c r="C186" s="1016"/>
      <c r="D186" s="860"/>
      <c r="E186" s="869"/>
      <c r="F186" s="882"/>
      <c r="G186" s="869"/>
      <c r="H186" s="902"/>
      <c r="I186" s="1014"/>
      <c r="J186" s="902"/>
      <c r="K186" s="1014"/>
      <c r="L186" s="882"/>
      <c r="M186" s="869"/>
      <c r="N186" s="902"/>
      <c r="O186" s="1218"/>
      <c r="P186" s="902"/>
      <c r="Q186" s="869"/>
      <c r="R186" s="902"/>
      <c r="S186" s="869"/>
      <c r="T186" s="902"/>
      <c r="U186" s="869"/>
      <c r="V186" s="882"/>
      <c r="W186" s="869"/>
      <c r="X186" s="902"/>
      <c r="Y186" s="869"/>
      <c r="Z186" s="902"/>
      <c r="AA186" s="955" t="e">
        <f>AVERAGE(C186,E186,G186,I186,K186,M186,O186,Q186,S186,U186,W186,Y186)</f>
        <v>#DIV/0!</v>
      </c>
      <c r="AB186" s="955" t="e">
        <f>AVERAGE(D186,F186,H186,J186,L186,N186,P186,R186,T186,V186,X186,Z186)</f>
        <v>#DIV/0!</v>
      </c>
      <c r="AC186" s="964"/>
    </row>
    <row r="187" spans="1:29" ht="21.95" hidden="1" customHeight="1" thickTop="1" thickBot="1" x14ac:dyDescent="0.3">
      <c r="A187" s="1572" t="s">
        <v>262</v>
      </c>
      <c r="B187" s="1476" t="s">
        <v>297</v>
      </c>
      <c r="C187" s="413"/>
      <c r="D187" s="861"/>
      <c r="E187" s="870"/>
      <c r="F187" s="883"/>
      <c r="G187" s="870"/>
      <c r="H187" s="903"/>
      <c r="I187" s="870"/>
      <c r="J187" s="903"/>
      <c r="K187" s="870"/>
      <c r="L187" s="883"/>
      <c r="M187" s="870"/>
      <c r="N187" s="903"/>
      <c r="O187" s="870"/>
      <c r="P187" s="903"/>
      <c r="Q187" s="870"/>
      <c r="R187" s="903"/>
      <c r="S187" s="870"/>
      <c r="T187" s="903"/>
      <c r="U187" s="870"/>
      <c r="V187" s="883"/>
      <c r="W187" s="870"/>
      <c r="X187" s="903"/>
      <c r="Y187" s="870"/>
      <c r="Z187" s="903"/>
      <c r="AA187" s="952" t="s">
        <v>252</v>
      </c>
      <c r="AB187" s="952" t="s">
        <v>252</v>
      </c>
      <c r="AC187" s="963"/>
    </row>
    <row r="188" spans="1:29" ht="21.95" hidden="1" customHeight="1" thickTop="1" thickBot="1" x14ac:dyDescent="0.3">
      <c r="A188" s="1572"/>
      <c r="B188" s="1476" t="s">
        <v>298</v>
      </c>
      <c r="C188" s="1375"/>
      <c r="D188" s="863"/>
      <c r="E188" s="1015"/>
      <c r="F188" s="882"/>
      <c r="G188" s="1264"/>
      <c r="H188" s="902"/>
      <c r="I188" s="1222"/>
      <c r="J188" s="902"/>
      <c r="K188" s="1015"/>
      <c r="L188" s="882"/>
      <c r="M188" s="1223"/>
      <c r="N188" s="1219"/>
      <c r="O188" s="1135"/>
      <c r="P188" s="1020"/>
      <c r="Q188" s="872"/>
      <c r="R188" s="902"/>
      <c r="S188" s="1135"/>
      <c r="T188" s="1219"/>
      <c r="U188" s="1135"/>
      <c r="V188" s="882"/>
      <c r="W188" s="1223"/>
      <c r="X188" s="902"/>
      <c r="Y188" s="1264"/>
      <c r="Z188" s="902"/>
      <c r="AA188" s="953" t="e">
        <f>AVERAGE(C188,E188,G188,I188,K188,M188,O188,Q188,S188,U188,W188,Y188)</f>
        <v>#DIV/0!</v>
      </c>
      <c r="AB188" s="953" t="e">
        <f>AVERAGE(D188,F188,H188,J188,L188,N188,P188,R188,T188,V188,X188,Z188)</f>
        <v>#DIV/0!</v>
      </c>
      <c r="AC188" s="964"/>
    </row>
    <row r="189" spans="1:29" ht="21.95" hidden="1" customHeight="1" thickTop="1" thickBot="1" x14ac:dyDescent="0.3">
      <c r="A189" s="1572" t="s">
        <v>263</v>
      </c>
      <c r="B189" s="1476" t="s">
        <v>297</v>
      </c>
      <c r="C189" s="413"/>
      <c r="D189" s="861"/>
      <c r="E189" s="870"/>
      <c r="F189" s="883"/>
      <c r="G189" s="870"/>
      <c r="H189" s="903"/>
      <c r="I189" s="870"/>
      <c r="J189" s="903"/>
      <c r="K189" s="870"/>
      <c r="L189" s="883"/>
      <c r="M189" s="870"/>
      <c r="N189" s="903"/>
      <c r="O189" s="870"/>
      <c r="P189" s="903"/>
      <c r="Q189" s="870"/>
      <c r="R189" s="903"/>
      <c r="S189" s="870"/>
      <c r="T189" s="903"/>
      <c r="U189" s="870"/>
      <c r="V189" s="883"/>
      <c r="W189" s="870"/>
      <c r="X189" s="903"/>
      <c r="Y189" s="870"/>
      <c r="Z189" s="903"/>
      <c r="AA189" s="957" t="s">
        <v>252</v>
      </c>
      <c r="AB189" s="957" t="s">
        <v>252</v>
      </c>
      <c r="AC189" s="966"/>
    </row>
    <row r="190" spans="1:29" ht="21.95" hidden="1" customHeight="1" thickTop="1" thickBot="1" x14ac:dyDescent="0.3">
      <c r="A190" s="1572"/>
      <c r="B190" s="1476" t="s">
        <v>298</v>
      </c>
      <c r="C190" s="412"/>
      <c r="D190" s="860"/>
      <c r="E190" s="869"/>
      <c r="F190" s="882"/>
      <c r="G190" s="869"/>
      <c r="H190" s="902"/>
      <c r="I190" s="869"/>
      <c r="J190" s="902"/>
      <c r="K190" s="869"/>
      <c r="L190" s="882"/>
      <c r="M190" s="869"/>
      <c r="N190" s="902"/>
      <c r="O190" s="869"/>
      <c r="P190" s="902"/>
      <c r="Q190" s="869"/>
      <c r="R190" s="902"/>
      <c r="S190" s="869"/>
      <c r="T190" s="902"/>
      <c r="U190" s="869"/>
      <c r="V190" s="882"/>
      <c r="W190" s="869"/>
      <c r="X190" s="902"/>
      <c r="Y190" s="869"/>
      <c r="Z190" s="902"/>
      <c r="AA190" s="955" t="e">
        <f>AVERAGE(C190,E190,G190,I190,K190,M190,O190,Q190,S190,U190,W190,Y190)</f>
        <v>#DIV/0!</v>
      </c>
      <c r="AB190" s="955" t="e">
        <f>AVERAGE(D190,F190,H190,J190,L190,N190,P190,R190,T190,V190,X190,Z190)</f>
        <v>#DIV/0!</v>
      </c>
      <c r="AC190" s="964"/>
    </row>
    <row r="191" spans="1:29" ht="21.95" hidden="1" customHeight="1" thickTop="1" thickBot="1" x14ac:dyDescent="0.3">
      <c r="A191" s="1572" t="s">
        <v>264</v>
      </c>
      <c r="B191" s="1476" t="s">
        <v>297</v>
      </c>
      <c r="C191" s="413"/>
      <c r="D191" s="861"/>
      <c r="E191" s="870"/>
      <c r="F191" s="883"/>
      <c r="G191" s="870"/>
      <c r="H191" s="903"/>
      <c r="I191" s="870"/>
      <c r="J191" s="903"/>
      <c r="K191" s="870"/>
      <c r="L191" s="883"/>
      <c r="M191" s="870"/>
      <c r="N191" s="903"/>
      <c r="O191" s="870"/>
      <c r="P191" s="903"/>
      <c r="Q191" s="870"/>
      <c r="R191" s="903"/>
      <c r="S191" s="870"/>
      <c r="T191" s="903"/>
      <c r="U191" s="870"/>
      <c r="V191" s="883"/>
      <c r="W191" s="870"/>
      <c r="X191" s="903"/>
      <c r="Y191" s="870"/>
      <c r="Z191" s="903"/>
      <c r="AA191" s="956" t="s">
        <v>252</v>
      </c>
      <c r="AB191" s="956" t="s">
        <v>252</v>
      </c>
      <c r="AC191" s="965"/>
    </row>
    <row r="192" spans="1:29" ht="21.95" hidden="1" customHeight="1" thickTop="1" thickBot="1" x14ac:dyDescent="0.3">
      <c r="A192" s="1572"/>
      <c r="B192" s="1476" t="s">
        <v>298</v>
      </c>
      <c r="C192" s="412"/>
      <c r="D192" s="860"/>
      <c r="E192" s="869"/>
      <c r="F192" s="882"/>
      <c r="G192" s="869"/>
      <c r="H192" s="902"/>
      <c r="I192" s="869"/>
      <c r="J192" s="902"/>
      <c r="K192" s="869"/>
      <c r="L192" s="882"/>
      <c r="M192" s="869"/>
      <c r="N192" s="902"/>
      <c r="O192" s="869"/>
      <c r="P192" s="902"/>
      <c r="Q192" s="869"/>
      <c r="R192" s="902"/>
      <c r="S192" s="869"/>
      <c r="T192" s="902"/>
      <c r="U192" s="869"/>
      <c r="V192" s="882"/>
      <c r="W192" s="869"/>
      <c r="X192" s="902"/>
      <c r="Y192" s="869"/>
      <c r="Z192" s="1219"/>
      <c r="AA192" s="953" t="e">
        <f>AVERAGE(C192,E192,G192,I192,K192,M192,O192,Q192,S192,U192,W192,Y192)</f>
        <v>#DIV/0!</v>
      </c>
      <c r="AB192" s="953" t="e">
        <f>AVERAGE(D192,F192,H192,J192,L192,N192,P192,R192,T192,V192,X192,Z192)</f>
        <v>#DIV/0!</v>
      </c>
      <c r="AC192" s="964"/>
    </row>
    <row r="193" spans="1:29" ht="21.95" customHeight="1" thickTop="1" thickBot="1" x14ac:dyDescent="0.3">
      <c r="A193" s="1571" t="s">
        <v>304</v>
      </c>
      <c r="B193" s="1476" t="s">
        <v>297</v>
      </c>
      <c r="C193" s="413"/>
      <c r="D193" s="861"/>
      <c r="E193" s="870"/>
      <c r="F193" s="883"/>
      <c r="G193" s="870"/>
      <c r="H193" s="903"/>
      <c r="I193" s="870"/>
      <c r="J193" s="903"/>
      <c r="K193" s="870"/>
      <c r="L193" s="883"/>
      <c r="M193" s="870"/>
      <c r="N193" s="903"/>
      <c r="O193" s="870"/>
      <c r="P193" s="903"/>
      <c r="Q193" s="870"/>
      <c r="R193" s="903"/>
      <c r="S193" s="870"/>
      <c r="T193" s="903"/>
      <c r="U193" s="870"/>
      <c r="V193" s="883"/>
      <c r="W193" s="870"/>
      <c r="X193" s="903"/>
      <c r="Y193" s="870"/>
      <c r="Z193" s="903"/>
      <c r="AA193" s="957" t="s">
        <v>252</v>
      </c>
      <c r="AB193" s="957" t="s">
        <v>252</v>
      </c>
      <c r="AC193" s="966"/>
    </row>
    <row r="194" spans="1:29" ht="21.95" customHeight="1" thickTop="1" thickBot="1" x14ac:dyDescent="0.3">
      <c r="A194" s="1571"/>
      <c r="B194" s="1476" t="s">
        <v>298</v>
      </c>
      <c r="C194" s="412"/>
      <c r="D194" s="860"/>
      <c r="E194" s="869"/>
      <c r="F194" s="882"/>
      <c r="G194" s="869"/>
      <c r="H194" s="902"/>
      <c r="I194" s="869"/>
      <c r="J194" s="1019"/>
      <c r="K194" s="869"/>
      <c r="L194" s="882"/>
      <c r="M194" s="869"/>
      <c r="N194" s="1019"/>
      <c r="O194" s="869"/>
      <c r="P194" s="902"/>
      <c r="Q194" s="869"/>
      <c r="R194" s="902"/>
      <c r="S194" s="869"/>
      <c r="T194" s="902"/>
      <c r="U194" s="869"/>
      <c r="V194" s="882"/>
      <c r="W194" s="1014"/>
      <c r="X194" s="1019"/>
      <c r="Y194" s="1015"/>
      <c r="Z194" s="1224"/>
      <c r="AA194" s="955" t="e">
        <f>AVERAGE(C194,E194,G194,I194,K194,M194,O194,Q194,S194,U194,W194,Y194)</f>
        <v>#DIV/0!</v>
      </c>
      <c r="AB194" s="955" t="e">
        <f>AVERAGE(D194,F194,H194,J194,L194,N194,P194,R194,T194,V194,X194,Z194)</f>
        <v>#DIV/0!</v>
      </c>
      <c r="AC194" s="964"/>
    </row>
    <row r="195" spans="1:29" ht="21.95" hidden="1" customHeight="1" thickTop="1" thickBot="1" x14ac:dyDescent="0.3">
      <c r="A195" s="1571" t="s">
        <v>265</v>
      </c>
      <c r="B195" s="1476" t="s">
        <v>297</v>
      </c>
      <c r="C195" s="413"/>
      <c r="D195" s="861"/>
      <c r="E195" s="870"/>
      <c r="F195" s="883"/>
      <c r="G195" s="870"/>
      <c r="H195" s="903"/>
      <c r="I195" s="870"/>
      <c r="J195" s="903"/>
      <c r="K195" s="870"/>
      <c r="L195" s="883"/>
      <c r="M195" s="870"/>
      <c r="N195" s="903"/>
      <c r="O195" s="870"/>
      <c r="P195" s="903"/>
      <c r="Q195" s="870"/>
      <c r="R195" s="903"/>
      <c r="S195" s="870"/>
      <c r="T195" s="903"/>
      <c r="U195" s="870"/>
      <c r="V195" s="883"/>
      <c r="W195" s="870" t="s">
        <v>252</v>
      </c>
      <c r="X195" s="903"/>
      <c r="Y195" s="870"/>
      <c r="Z195" s="903"/>
      <c r="AA195" s="952" t="s">
        <v>252</v>
      </c>
      <c r="AB195" s="952" t="s">
        <v>252</v>
      </c>
      <c r="AC195" s="963"/>
    </row>
    <row r="196" spans="1:29" ht="21.95" hidden="1" customHeight="1" thickTop="1" thickBot="1" x14ac:dyDescent="0.3">
      <c r="A196" s="1571"/>
      <c r="B196" s="1476" t="s">
        <v>298</v>
      </c>
      <c r="C196" s="1013"/>
      <c r="D196" s="860"/>
      <c r="E196" s="869"/>
      <c r="F196" s="882"/>
      <c r="G196" s="869"/>
      <c r="H196" s="902"/>
      <c r="I196" s="869"/>
      <c r="J196" s="1019"/>
      <c r="K196" s="869"/>
      <c r="L196" s="882"/>
      <c r="M196" s="869"/>
      <c r="N196" s="902"/>
      <c r="O196" s="869"/>
      <c r="P196" s="902"/>
      <c r="Q196" s="869"/>
      <c r="R196" s="902"/>
      <c r="S196" s="869"/>
      <c r="T196" s="902"/>
      <c r="U196" s="1014"/>
      <c r="V196" s="882"/>
      <c r="W196" s="1014">
        <v>1</v>
      </c>
      <c r="X196" s="902"/>
      <c r="Y196" s="869"/>
      <c r="Z196" s="1020"/>
      <c r="AA196" s="953">
        <f>AVERAGE(C196,E196,G196,I196,K196,M196,O196,Q196,S196,U196,W196,Y196)</f>
        <v>1</v>
      </c>
      <c r="AB196" s="953" t="e">
        <f>AVERAGE(D196,F196,H196,J196,L196,N196,P196,R196,T196,V196,X196,Z196)</f>
        <v>#DIV/0!</v>
      </c>
      <c r="AC196" s="964"/>
    </row>
    <row r="197" spans="1:29" ht="21.95" hidden="1" customHeight="1" thickTop="1" thickBot="1" x14ac:dyDescent="0.3">
      <c r="A197" s="1572" t="s">
        <v>266</v>
      </c>
      <c r="B197" s="1476" t="s">
        <v>297</v>
      </c>
      <c r="C197" s="413"/>
      <c r="D197" s="861"/>
      <c r="E197" s="870"/>
      <c r="F197" s="883"/>
      <c r="G197" s="870"/>
      <c r="H197" s="903"/>
      <c r="I197" s="870"/>
      <c r="J197" s="903"/>
      <c r="K197" s="870"/>
      <c r="L197" s="883"/>
      <c r="M197" s="870"/>
      <c r="N197" s="903"/>
      <c r="O197" s="870"/>
      <c r="P197" s="903"/>
      <c r="Q197" s="870"/>
      <c r="R197" s="903"/>
      <c r="S197" s="870"/>
      <c r="T197" s="903"/>
      <c r="U197" s="870"/>
      <c r="V197" s="883"/>
      <c r="W197" s="870"/>
      <c r="X197" s="903"/>
      <c r="Y197" s="870"/>
      <c r="Z197" s="903"/>
      <c r="AA197" s="957" t="s">
        <v>252</v>
      </c>
      <c r="AB197" s="957" t="s">
        <v>252</v>
      </c>
      <c r="AC197" s="966"/>
    </row>
    <row r="198" spans="1:29" ht="21.95" hidden="1" customHeight="1" thickTop="1" thickBot="1" x14ac:dyDescent="0.3">
      <c r="A198" s="1572"/>
      <c r="B198" s="1476" t="s">
        <v>298</v>
      </c>
      <c r="C198" s="412"/>
      <c r="D198" s="860"/>
      <c r="E198" s="869"/>
      <c r="F198" s="882"/>
      <c r="G198" s="869"/>
      <c r="H198" s="902"/>
      <c r="I198" s="1014"/>
      <c r="J198" s="902"/>
      <c r="K198" s="869"/>
      <c r="L198" s="1021"/>
      <c r="M198" s="869"/>
      <c r="N198" s="1020"/>
      <c r="O198" s="869"/>
      <c r="P198" s="902"/>
      <c r="Q198" s="869"/>
      <c r="R198" s="902"/>
      <c r="S198" s="869"/>
      <c r="T198" s="902"/>
      <c r="U198" s="869"/>
      <c r="V198" s="882"/>
      <c r="W198" s="869"/>
      <c r="X198" s="902"/>
      <c r="Y198" s="869"/>
      <c r="Z198" s="902"/>
      <c r="AA198" s="955" t="e">
        <f>AVERAGE(C198,E198,G198,I198,K198,M198,O198,Q198,S198,U198,W198,Y198)</f>
        <v>#DIV/0!</v>
      </c>
      <c r="AB198" s="955" t="e">
        <f>AVERAGE(D198,F198,H198,J198,L198,N198,P198,R198,T198,V198,X198,Z198)</f>
        <v>#DIV/0!</v>
      </c>
      <c r="AC198" s="964"/>
    </row>
    <row r="199" spans="1:29" ht="21.95" customHeight="1" thickTop="1" thickBot="1" x14ac:dyDescent="0.3">
      <c r="A199" s="1571" t="s">
        <v>1105</v>
      </c>
      <c r="B199" s="1476" t="s">
        <v>297</v>
      </c>
      <c r="C199" s="1484"/>
      <c r="D199" s="1485"/>
      <c r="E199" s="1478"/>
      <c r="F199" s="1477"/>
      <c r="G199" s="1478"/>
      <c r="H199" s="1479"/>
      <c r="I199" s="1478"/>
      <c r="J199" s="1479"/>
      <c r="K199" s="1478"/>
      <c r="L199" s="1477"/>
      <c r="M199" s="1478"/>
      <c r="N199" s="1479"/>
      <c r="O199" s="1478"/>
      <c r="P199" s="1479"/>
      <c r="Q199" s="1478"/>
      <c r="R199" s="1479"/>
      <c r="S199" s="1478"/>
      <c r="T199" s="1479"/>
      <c r="U199" s="1478"/>
      <c r="V199" s="1477"/>
      <c r="W199" s="1478"/>
      <c r="X199" s="1479"/>
      <c r="Y199" s="1478"/>
      <c r="Z199" s="1479"/>
      <c r="AA199" s="1480" t="s">
        <v>252</v>
      </c>
      <c r="AB199" s="1480" t="s">
        <v>252</v>
      </c>
      <c r="AC199" s="963"/>
    </row>
    <row r="200" spans="1:29" ht="21.95" customHeight="1" thickTop="1" thickBot="1" x14ac:dyDescent="0.3">
      <c r="A200" s="1571"/>
      <c r="B200" s="1476" t="s">
        <v>298</v>
      </c>
      <c r="C200" s="1486"/>
      <c r="D200" s="1487"/>
      <c r="E200" s="1482"/>
      <c r="F200" s="1481"/>
      <c r="G200" s="1482"/>
      <c r="H200" s="1483"/>
      <c r="I200" s="1482"/>
      <c r="J200" s="1483"/>
      <c r="K200" s="1482"/>
      <c r="L200" s="1481"/>
      <c r="M200" s="1482"/>
      <c r="N200" s="1483"/>
      <c r="O200" s="1482"/>
      <c r="P200" s="1483"/>
      <c r="Q200" s="1482"/>
      <c r="R200" s="1483"/>
      <c r="S200" s="1482"/>
      <c r="T200" s="1483"/>
      <c r="U200" s="1482"/>
      <c r="V200" s="1481"/>
      <c r="W200" s="1482"/>
      <c r="X200" s="1483"/>
      <c r="Y200" s="1482"/>
      <c r="Z200" s="1483"/>
      <c r="AA200" s="955" t="e">
        <f>AVERAGE(C200,E200,G200,I200,K200,M200,O200,Q200,S200,U200,W200,Y200)</f>
        <v>#DIV/0!</v>
      </c>
      <c r="AB200" s="955" t="e">
        <f>AVERAGE(D200,F200,H200,J200,L200,N200,P200,R200,T200,V200,X200,Z200)</f>
        <v>#DIV/0!</v>
      </c>
      <c r="AC200" s="964"/>
    </row>
    <row r="201" spans="1:29" ht="21.95" hidden="1" customHeight="1" thickTop="1" thickBot="1" x14ac:dyDescent="0.3">
      <c r="A201" s="1572" t="s">
        <v>268</v>
      </c>
      <c r="B201" s="1476" t="s">
        <v>297</v>
      </c>
      <c r="C201" s="413"/>
      <c r="D201" s="861"/>
      <c r="E201" s="870"/>
      <c r="F201" s="883"/>
      <c r="G201" s="870"/>
      <c r="H201" s="903"/>
      <c r="I201" s="870"/>
      <c r="J201" s="903"/>
      <c r="K201" s="870"/>
      <c r="L201" s="883"/>
      <c r="M201" s="870"/>
      <c r="N201" s="903"/>
      <c r="O201" s="870"/>
      <c r="P201" s="903"/>
      <c r="Q201" s="870"/>
      <c r="R201" s="903"/>
      <c r="S201" s="870"/>
      <c r="T201" s="903"/>
      <c r="U201" s="870"/>
      <c r="V201" s="883"/>
      <c r="W201" s="870"/>
      <c r="X201" s="903"/>
      <c r="Y201" s="870"/>
      <c r="Z201" s="903"/>
      <c r="AA201" s="957" t="s">
        <v>252</v>
      </c>
      <c r="AB201" s="957" t="s">
        <v>252</v>
      </c>
      <c r="AC201" s="966"/>
    </row>
    <row r="202" spans="1:29" ht="21.95" hidden="1" customHeight="1" thickTop="1" thickBot="1" x14ac:dyDescent="0.3">
      <c r="A202" s="1572"/>
      <c r="B202" s="1476" t="s">
        <v>298</v>
      </c>
      <c r="C202" s="412"/>
      <c r="D202" s="860"/>
      <c r="E202" s="869"/>
      <c r="F202" s="882"/>
      <c r="G202" s="869"/>
      <c r="H202" s="902"/>
      <c r="I202" s="869"/>
      <c r="J202" s="902"/>
      <c r="K202" s="869"/>
      <c r="L202" s="882"/>
      <c r="M202" s="1015"/>
      <c r="N202" s="902"/>
      <c r="O202" s="869"/>
      <c r="P202" s="902"/>
      <c r="Q202" s="869"/>
      <c r="R202" s="902"/>
      <c r="S202" s="869"/>
      <c r="T202" s="902"/>
      <c r="U202" s="869"/>
      <c r="V202" s="882"/>
      <c r="W202" s="869"/>
      <c r="X202" s="1019"/>
      <c r="Y202" s="869"/>
      <c r="Z202" s="1019"/>
      <c r="AA202" s="955" t="e">
        <f>AVERAGE(C202,E202,G202,I202,K202,M202,O202,Q202,S202,U202,W202,Y202)</f>
        <v>#DIV/0!</v>
      </c>
      <c r="AB202" s="955" t="e">
        <f>AVERAGE(D202,F202,H202,J202,L202,N202,P202,R202,T202,V202,X202,Z202)</f>
        <v>#DIV/0!</v>
      </c>
      <c r="AC202" s="964"/>
    </row>
    <row r="203" spans="1:29" ht="21.95" customHeight="1" thickTop="1" thickBot="1" x14ac:dyDescent="0.3">
      <c r="A203" s="1571" t="s">
        <v>1007</v>
      </c>
      <c r="B203" s="1476" t="s">
        <v>297</v>
      </c>
      <c r="C203" s="413" t="s">
        <v>252</v>
      </c>
      <c r="D203" s="861"/>
      <c r="E203" s="870" t="s">
        <v>252</v>
      </c>
      <c r="F203" s="883"/>
      <c r="G203" s="870"/>
      <c r="H203" s="903"/>
      <c r="I203" s="1153" t="s">
        <v>252</v>
      </c>
      <c r="J203" s="903"/>
      <c r="K203" s="870"/>
      <c r="L203" s="883"/>
      <c r="M203" s="870"/>
      <c r="N203" s="903"/>
      <c r="O203" s="870" t="s">
        <v>252</v>
      </c>
      <c r="P203" s="903"/>
      <c r="Q203" s="870"/>
      <c r="R203" s="903"/>
      <c r="S203" s="870" t="s">
        <v>252</v>
      </c>
      <c r="T203" s="903"/>
      <c r="U203" s="870"/>
      <c r="V203" s="883"/>
      <c r="W203" s="870"/>
      <c r="X203" s="903"/>
      <c r="Y203" s="870"/>
      <c r="Z203" s="903"/>
      <c r="AA203" s="956" t="s">
        <v>252</v>
      </c>
      <c r="AB203" s="956" t="s">
        <v>252</v>
      </c>
      <c r="AC203" s="965"/>
    </row>
    <row r="204" spans="1:29" ht="21.95" customHeight="1" thickTop="1" thickBot="1" x14ac:dyDescent="0.3">
      <c r="A204" s="1571"/>
      <c r="B204" s="1476" t="s">
        <v>298</v>
      </c>
      <c r="C204" s="1013">
        <v>1</v>
      </c>
      <c r="D204" s="860"/>
      <c r="E204" s="1014">
        <v>1</v>
      </c>
      <c r="F204" s="882"/>
      <c r="G204" s="1014"/>
      <c r="H204" s="902"/>
      <c r="I204" s="1135">
        <v>1</v>
      </c>
      <c r="J204" s="902"/>
      <c r="K204" s="1015"/>
      <c r="L204" s="882"/>
      <c r="M204" s="869"/>
      <c r="N204" s="902"/>
      <c r="O204" s="1014">
        <v>1</v>
      </c>
      <c r="P204" s="902"/>
      <c r="Q204" s="1218"/>
      <c r="R204" s="902"/>
      <c r="S204" s="1015">
        <v>0.5</v>
      </c>
      <c r="T204" s="902"/>
      <c r="U204" s="869"/>
      <c r="V204" s="882"/>
      <c r="W204" s="869"/>
      <c r="X204" s="902"/>
      <c r="Y204" s="869"/>
      <c r="Z204" s="902"/>
      <c r="AA204" s="953">
        <f>AVERAGE(C204,E204,G204,I204,K204,M204,O204,Q204,S204,U204,W204,Y204)</f>
        <v>0.9</v>
      </c>
      <c r="AB204" s="953" t="e">
        <f>AVERAGE(D204,F204,H204,J204,L204,N204,P204,R204,T204,V204,X204,Z204)</f>
        <v>#DIV/0!</v>
      </c>
      <c r="AC204" s="964"/>
    </row>
    <row r="205" spans="1:29" ht="21.95" hidden="1" customHeight="1" thickTop="1" thickBot="1" x14ac:dyDescent="0.3">
      <c r="A205" s="1571" t="s">
        <v>270</v>
      </c>
      <c r="B205" s="431" t="s">
        <v>297</v>
      </c>
      <c r="C205" s="413"/>
      <c r="D205" s="861"/>
      <c r="E205" s="870"/>
      <c r="F205" s="883"/>
      <c r="G205" s="870"/>
      <c r="H205" s="903"/>
      <c r="I205" s="870"/>
      <c r="J205" s="1378"/>
      <c r="K205" s="870"/>
      <c r="L205" s="883"/>
      <c r="M205" s="870"/>
      <c r="N205" s="903"/>
      <c r="O205" s="870"/>
      <c r="P205" s="903"/>
      <c r="Q205" s="870"/>
      <c r="R205" s="903"/>
      <c r="S205" s="870" t="s">
        <v>252</v>
      </c>
      <c r="T205" s="903"/>
      <c r="U205" s="870"/>
      <c r="V205" s="883"/>
      <c r="W205" s="870"/>
      <c r="X205" s="903"/>
      <c r="Y205" s="870"/>
      <c r="Z205" s="903"/>
      <c r="AA205" s="954" t="s">
        <v>252</v>
      </c>
      <c r="AB205" s="954" t="s">
        <v>252</v>
      </c>
      <c r="AC205" s="962"/>
    </row>
    <row r="206" spans="1:29" ht="21.95" hidden="1" customHeight="1" thickTop="1" thickBot="1" x14ac:dyDescent="0.3">
      <c r="A206" s="1571"/>
      <c r="B206" s="431" t="s">
        <v>298</v>
      </c>
      <c r="C206" s="1013"/>
      <c r="D206" s="860"/>
      <c r="E206" s="869"/>
      <c r="F206" s="882"/>
      <c r="G206" s="1015"/>
      <c r="H206" s="902"/>
      <c r="I206" s="1014"/>
      <c r="J206" s="902"/>
      <c r="K206" s="1014"/>
      <c r="L206" s="882"/>
      <c r="M206" s="1015"/>
      <c r="N206" s="902"/>
      <c r="O206" s="1014"/>
      <c r="P206" s="902"/>
      <c r="Q206" s="1014"/>
      <c r="R206" s="902"/>
      <c r="S206" s="1014">
        <v>1</v>
      </c>
      <c r="T206" s="902"/>
      <c r="U206" s="869"/>
      <c r="V206" s="882"/>
      <c r="W206" s="869"/>
      <c r="X206" s="902"/>
      <c r="Y206" s="1014"/>
      <c r="Z206" s="902"/>
      <c r="AA206" s="955">
        <f>AVERAGE(C206,E206,G206,I206,K206,M206,O206,Q206,S206,U206,W206,Y206)</f>
        <v>1</v>
      </c>
      <c r="AB206" s="955" t="e">
        <f>AVERAGE(D206,F206,H206,J206,L206,N206,P206,R206,T206,V206,X206,Z206)</f>
        <v>#DIV/0!</v>
      </c>
      <c r="AC206" s="964"/>
    </row>
    <row r="207" spans="1:29" ht="21.95" hidden="1" customHeight="1" thickTop="1" thickBot="1" x14ac:dyDescent="0.3">
      <c r="A207" s="1572" t="s">
        <v>662</v>
      </c>
      <c r="B207" s="430" t="s">
        <v>297</v>
      </c>
      <c r="C207" s="679"/>
      <c r="D207" s="864"/>
      <c r="E207" s="873"/>
      <c r="F207" s="884"/>
      <c r="G207" s="873"/>
      <c r="H207" s="904"/>
      <c r="I207" s="873"/>
      <c r="J207" s="904"/>
      <c r="K207" s="873"/>
      <c r="L207" s="884"/>
      <c r="M207" s="873"/>
      <c r="N207" s="904"/>
      <c r="O207" s="873"/>
      <c r="P207" s="904"/>
      <c r="Q207" s="873"/>
      <c r="R207" s="904"/>
      <c r="S207" s="873"/>
      <c r="T207" s="904"/>
      <c r="U207" s="873"/>
      <c r="V207" s="884"/>
      <c r="W207" s="873"/>
      <c r="X207" s="904"/>
      <c r="Y207" s="873"/>
      <c r="Z207" s="904"/>
      <c r="AA207" s="952" t="s">
        <v>252</v>
      </c>
      <c r="AB207" s="952" t="s">
        <v>252</v>
      </c>
      <c r="AC207" s="963"/>
    </row>
    <row r="208" spans="1:29" ht="21.95" hidden="1" customHeight="1" thickTop="1" thickBot="1" x14ac:dyDescent="0.3">
      <c r="A208" s="1572"/>
      <c r="B208" s="430" t="s">
        <v>298</v>
      </c>
      <c r="C208" s="1376"/>
      <c r="D208" s="1377"/>
      <c r="E208" s="1018"/>
      <c r="F208" s="1263"/>
      <c r="G208" s="1017"/>
      <c r="H208" s="1138"/>
      <c r="I208" s="1017"/>
      <c r="J208" s="1138"/>
      <c r="K208" s="1018"/>
      <c r="L208" s="1137"/>
      <c r="M208" s="1017"/>
      <c r="N208" s="905"/>
      <c r="O208" s="1017"/>
      <c r="P208" s="1138"/>
      <c r="Q208" s="874"/>
      <c r="R208" s="905"/>
      <c r="S208" s="1017"/>
      <c r="T208" s="1220"/>
      <c r="U208" s="1017"/>
      <c r="V208" s="1137"/>
      <c r="W208" s="1017"/>
      <c r="X208" s="1138"/>
      <c r="Y208" s="1017"/>
      <c r="Z208" s="1220"/>
      <c r="AA208" s="953" t="e">
        <f t="shared" ref="AA208:AB212" si="21">AVERAGE(C208,E208,G208,I208,K208,M208,O208,Q208,S208,U208,W208,Y208)</f>
        <v>#DIV/0!</v>
      </c>
      <c r="AB208" s="953" t="e">
        <f t="shared" si="21"/>
        <v>#DIV/0!</v>
      </c>
      <c r="AC208" s="964"/>
    </row>
    <row r="209" spans="1:41" ht="21.95" customHeight="1" thickTop="1" thickBot="1" x14ac:dyDescent="0.3">
      <c r="A209" s="432" t="s">
        <v>300</v>
      </c>
      <c r="B209" s="1586"/>
      <c r="C209" s="865">
        <v>12</v>
      </c>
      <c r="D209" s="878">
        <v>12</v>
      </c>
      <c r="E209" s="875">
        <v>12</v>
      </c>
      <c r="F209" s="885">
        <v>12</v>
      </c>
      <c r="G209" s="875">
        <v>12</v>
      </c>
      <c r="H209" s="906">
        <v>12</v>
      </c>
      <c r="I209" s="875">
        <v>12</v>
      </c>
      <c r="J209" s="906">
        <v>12</v>
      </c>
      <c r="K209" s="875">
        <v>12</v>
      </c>
      <c r="L209" s="885">
        <v>12</v>
      </c>
      <c r="M209" s="875">
        <v>8</v>
      </c>
      <c r="N209" s="906"/>
      <c r="O209" s="875">
        <v>8</v>
      </c>
      <c r="P209" s="906"/>
      <c r="Q209" s="875">
        <v>8</v>
      </c>
      <c r="R209" s="906"/>
      <c r="S209" s="875">
        <v>8</v>
      </c>
      <c r="T209" s="906"/>
      <c r="U209" s="875">
        <v>8</v>
      </c>
      <c r="V209" s="885"/>
      <c r="W209" s="875">
        <v>8</v>
      </c>
      <c r="X209" s="906"/>
      <c r="Y209" s="875">
        <v>8</v>
      </c>
      <c r="Z209" s="906"/>
      <c r="AA209" s="1301">
        <f t="shared" si="21"/>
        <v>9.6666666666666661</v>
      </c>
      <c r="AB209" s="1301">
        <f t="shared" si="21"/>
        <v>12</v>
      </c>
      <c r="AC209" s="964"/>
    </row>
    <row r="210" spans="1:41" ht="21.95" customHeight="1" thickTop="1" thickBot="1" x14ac:dyDescent="0.3">
      <c r="A210" s="432" t="s">
        <v>301</v>
      </c>
      <c r="B210" s="1587"/>
      <c r="C210" s="866">
        <v>12</v>
      </c>
      <c r="D210" s="879">
        <v>12</v>
      </c>
      <c r="E210" s="876">
        <v>12</v>
      </c>
      <c r="F210" s="886">
        <v>12</v>
      </c>
      <c r="G210" s="876">
        <v>12</v>
      </c>
      <c r="H210" s="907">
        <v>12</v>
      </c>
      <c r="I210" s="876">
        <v>12</v>
      </c>
      <c r="J210" s="907">
        <v>12</v>
      </c>
      <c r="K210" s="876">
        <v>12</v>
      </c>
      <c r="L210" s="886">
        <v>12</v>
      </c>
      <c r="M210" s="876">
        <v>8</v>
      </c>
      <c r="N210" s="907"/>
      <c r="O210" s="876">
        <v>8</v>
      </c>
      <c r="P210" s="907"/>
      <c r="Q210" s="876">
        <v>8</v>
      </c>
      <c r="R210" s="907"/>
      <c r="S210" s="876">
        <v>7</v>
      </c>
      <c r="T210" s="907"/>
      <c r="U210" s="876">
        <v>8</v>
      </c>
      <c r="V210" s="886"/>
      <c r="W210" s="876">
        <v>8</v>
      </c>
      <c r="X210" s="907"/>
      <c r="Y210" s="876">
        <v>8</v>
      </c>
      <c r="Z210" s="907"/>
      <c r="AA210" s="1301">
        <f>AVERAGE(C210,E210,G210,I210,K210,M210,O210,Q210,S210,U210,W210,Y210)</f>
        <v>9.5833333333333339</v>
      </c>
      <c r="AB210" s="1301">
        <f t="shared" si="21"/>
        <v>12</v>
      </c>
      <c r="AC210" s="964"/>
    </row>
    <row r="211" spans="1:41" ht="21.95" customHeight="1" thickTop="1" thickBot="1" x14ac:dyDescent="0.3">
      <c r="A211" s="432" t="s">
        <v>242</v>
      </c>
      <c r="B211" s="1587"/>
      <c r="C211" s="807">
        <f t="shared" ref="C211:Z211" si="22">C$209/$J$163</f>
        <v>1.5</v>
      </c>
      <c r="D211" s="824">
        <f t="shared" si="22"/>
        <v>1.5</v>
      </c>
      <c r="E211" s="877">
        <f t="shared" si="22"/>
        <v>1.5</v>
      </c>
      <c r="F211" s="887">
        <f t="shared" si="22"/>
        <v>1.5</v>
      </c>
      <c r="G211" s="877">
        <f t="shared" si="22"/>
        <v>1.5</v>
      </c>
      <c r="H211" s="908">
        <f t="shared" si="22"/>
        <v>1.5</v>
      </c>
      <c r="I211" s="877">
        <f t="shared" si="22"/>
        <v>1.5</v>
      </c>
      <c r="J211" s="908">
        <f t="shared" si="22"/>
        <v>1.5</v>
      </c>
      <c r="K211" s="877">
        <f t="shared" si="22"/>
        <v>1.5</v>
      </c>
      <c r="L211" s="887">
        <f t="shared" si="22"/>
        <v>1.5</v>
      </c>
      <c r="M211" s="877">
        <f t="shared" si="22"/>
        <v>1</v>
      </c>
      <c r="N211" s="908">
        <f t="shared" si="22"/>
        <v>0</v>
      </c>
      <c r="O211" s="877">
        <f t="shared" si="22"/>
        <v>1</v>
      </c>
      <c r="P211" s="908">
        <f t="shared" si="22"/>
        <v>0</v>
      </c>
      <c r="Q211" s="877">
        <f t="shared" si="22"/>
        <v>1</v>
      </c>
      <c r="R211" s="908">
        <f t="shared" si="22"/>
        <v>0</v>
      </c>
      <c r="S211" s="877">
        <f t="shared" si="22"/>
        <v>1</v>
      </c>
      <c r="T211" s="908">
        <f t="shared" si="22"/>
        <v>0</v>
      </c>
      <c r="U211" s="877">
        <f t="shared" si="22"/>
        <v>1</v>
      </c>
      <c r="V211" s="887">
        <f t="shared" si="22"/>
        <v>0</v>
      </c>
      <c r="W211" s="877">
        <f t="shared" si="22"/>
        <v>1</v>
      </c>
      <c r="X211" s="908">
        <f t="shared" si="22"/>
        <v>0</v>
      </c>
      <c r="Y211" s="877">
        <f t="shared" si="22"/>
        <v>1</v>
      </c>
      <c r="Z211" s="908">
        <f t="shared" si="22"/>
        <v>0</v>
      </c>
      <c r="AA211" s="953">
        <f t="shared" si="21"/>
        <v>1.2083333333333333</v>
      </c>
      <c r="AB211" s="953">
        <f t="shared" si="21"/>
        <v>0.625</v>
      </c>
      <c r="AC211" s="964"/>
    </row>
    <row r="212" spans="1:41" ht="21.95" customHeight="1" thickTop="1" thickBot="1" x14ac:dyDescent="0.3">
      <c r="A212" s="433" t="s">
        <v>250</v>
      </c>
      <c r="B212" s="1588"/>
      <c r="C212" s="807">
        <f t="shared" ref="C212:Z212" si="23">C$210/$J$163</f>
        <v>1.5</v>
      </c>
      <c r="D212" s="824">
        <f t="shared" si="23"/>
        <v>1.5</v>
      </c>
      <c r="E212" s="877">
        <f t="shared" si="23"/>
        <v>1.5</v>
      </c>
      <c r="F212" s="887">
        <f t="shared" si="23"/>
        <v>1.5</v>
      </c>
      <c r="G212" s="877">
        <f t="shared" si="23"/>
        <v>1.5</v>
      </c>
      <c r="H212" s="908">
        <f t="shared" si="23"/>
        <v>1.5</v>
      </c>
      <c r="I212" s="877">
        <f t="shared" si="23"/>
        <v>1.5</v>
      </c>
      <c r="J212" s="908">
        <f t="shared" si="23"/>
        <v>1.5</v>
      </c>
      <c r="K212" s="877">
        <f t="shared" si="23"/>
        <v>1.5</v>
      </c>
      <c r="L212" s="887">
        <f t="shared" si="23"/>
        <v>1.5</v>
      </c>
      <c r="M212" s="877">
        <f t="shared" si="23"/>
        <v>1</v>
      </c>
      <c r="N212" s="908">
        <f t="shared" si="23"/>
        <v>0</v>
      </c>
      <c r="O212" s="877">
        <f t="shared" si="23"/>
        <v>1</v>
      </c>
      <c r="P212" s="908">
        <f t="shared" si="23"/>
        <v>0</v>
      </c>
      <c r="Q212" s="877">
        <f t="shared" si="23"/>
        <v>1</v>
      </c>
      <c r="R212" s="908">
        <f t="shared" si="23"/>
        <v>0</v>
      </c>
      <c r="S212" s="877">
        <f t="shared" si="23"/>
        <v>0.875</v>
      </c>
      <c r="T212" s="908">
        <f t="shared" si="23"/>
        <v>0</v>
      </c>
      <c r="U212" s="877">
        <f t="shared" si="23"/>
        <v>1</v>
      </c>
      <c r="V212" s="887">
        <f t="shared" si="23"/>
        <v>0</v>
      </c>
      <c r="W212" s="877">
        <f t="shared" si="23"/>
        <v>1</v>
      </c>
      <c r="X212" s="908">
        <f t="shared" si="23"/>
        <v>0</v>
      </c>
      <c r="Y212" s="877">
        <f t="shared" si="23"/>
        <v>1</v>
      </c>
      <c r="Z212" s="908">
        <f t="shared" si="23"/>
        <v>0</v>
      </c>
      <c r="AA212" s="953">
        <f t="shared" si="21"/>
        <v>1.1979166666666667</v>
      </c>
      <c r="AB212" s="953">
        <f t="shared" si="21"/>
        <v>0.625</v>
      </c>
      <c r="AC212" s="964"/>
    </row>
    <row r="213" spans="1:41" ht="21.95" customHeight="1" thickTop="1" x14ac:dyDescent="0.25">
      <c r="B213" s="434"/>
      <c r="C213" s="434"/>
      <c r="D213" s="434"/>
      <c r="E213" s="434"/>
      <c r="F213" s="434"/>
      <c r="G213" s="434"/>
      <c r="N213" s="435"/>
      <c r="O213" s="435"/>
    </row>
    <row r="214" spans="1:41" ht="21.95" customHeight="1" thickBot="1" x14ac:dyDescent="0.3">
      <c r="A214" s="436"/>
      <c r="B214" s="436"/>
      <c r="C214" s="436"/>
      <c r="D214" s="436"/>
      <c r="E214" s="436"/>
      <c r="F214" s="436"/>
      <c r="G214" s="436"/>
      <c r="H214" s="436"/>
      <c r="I214" s="436"/>
      <c r="J214" s="436"/>
      <c r="K214" s="436"/>
      <c r="L214" s="436"/>
      <c r="M214" s="436"/>
      <c r="N214" s="436"/>
      <c r="O214" s="436"/>
      <c r="P214" s="436"/>
      <c r="Q214" s="436"/>
      <c r="R214" s="436"/>
      <c r="S214" s="436"/>
      <c r="T214" s="436"/>
      <c r="U214" s="436"/>
      <c r="V214" s="436"/>
      <c r="W214" s="436"/>
      <c r="X214" s="436"/>
      <c r="Y214" s="436"/>
    </row>
    <row r="215" spans="1:41" ht="21.95" customHeight="1" thickTop="1" thickBot="1" x14ac:dyDescent="0.3">
      <c r="A215" s="1568" t="s">
        <v>819</v>
      </c>
      <c r="B215" s="1569"/>
      <c r="C215" s="1569"/>
      <c r="D215" s="1569"/>
      <c r="E215" s="1569"/>
      <c r="F215" s="1569"/>
      <c r="G215" s="1569"/>
      <c r="H215" s="1569"/>
      <c r="I215" s="1569"/>
      <c r="J215" s="1569"/>
      <c r="K215" s="1569"/>
      <c r="L215" s="1569"/>
      <c r="M215" s="1569"/>
      <c r="N215" s="1570"/>
      <c r="O215" s="935"/>
      <c r="P215" s="437"/>
      <c r="Q215" s="437"/>
      <c r="R215" s="437"/>
      <c r="S215" s="437"/>
      <c r="T215" s="437"/>
      <c r="U215" s="437"/>
      <c r="V215" s="437"/>
      <c r="W215" s="437"/>
      <c r="X215" s="437"/>
      <c r="Y215" s="437"/>
    </row>
    <row r="216" spans="1:41" ht="27" thickTop="1" thickBot="1" x14ac:dyDescent="0.3">
      <c r="A216" s="436"/>
      <c r="B216" s="436"/>
      <c r="C216" s="436"/>
      <c r="D216" s="438"/>
      <c r="E216" s="438"/>
      <c r="F216" s="438"/>
      <c r="G216" s="438"/>
      <c r="H216" s="438"/>
      <c r="I216" s="438"/>
      <c r="J216" s="438"/>
      <c r="K216" s="438"/>
      <c r="L216" s="438"/>
      <c r="M216" s="438"/>
      <c r="N216" s="438"/>
      <c r="O216" s="438"/>
      <c r="P216" s="438"/>
      <c r="Q216" s="438"/>
      <c r="R216" s="438"/>
      <c r="S216" s="438"/>
      <c r="T216" s="438"/>
      <c r="U216" s="438"/>
      <c r="V216" s="438"/>
      <c r="W216" s="438"/>
      <c r="X216" s="438"/>
      <c r="Y216" s="438"/>
    </row>
    <row r="217" spans="1:41" ht="35.25" customHeight="1" thickTop="1" thickBot="1" x14ac:dyDescent="0.3">
      <c r="A217" s="1589" t="s">
        <v>320</v>
      </c>
      <c r="B217" s="1512">
        <v>2005</v>
      </c>
      <c r="C217" s="1511"/>
      <c r="D217" s="1512" t="s">
        <v>215</v>
      </c>
      <c r="E217" s="1636"/>
      <c r="F217" s="1510">
        <v>2006</v>
      </c>
      <c r="G217" s="1511"/>
      <c r="H217" s="1512" t="s">
        <v>215</v>
      </c>
      <c r="I217" s="1607"/>
      <c r="J217" s="1510">
        <v>2007</v>
      </c>
      <c r="K217" s="1511"/>
      <c r="L217" s="1512" t="s">
        <v>215</v>
      </c>
      <c r="M217" s="1511"/>
      <c r="N217" s="1510">
        <v>2008</v>
      </c>
      <c r="O217" s="1511"/>
      <c r="P217" s="1512" t="s">
        <v>215</v>
      </c>
      <c r="Q217" s="1511"/>
      <c r="R217" s="1510">
        <v>2009</v>
      </c>
      <c r="S217" s="1511"/>
      <c r="T217" s="1512" t="s">
        <v>215</v>
      </c>
      <c r="U217" s="1511"/>
      <c r="V217" s="1510">
        <v>2010</v>
      </c>
      <c r="W217" s="1511"/>
      <c r="X217" s="1512" t="s">
        <v>215</v>
      </c>
      <c r="Y217" s="1511"/>
      <c r="Z217" s="1510" t="s">
        <v>678</v>
      </c>
      <c r="AA217" s="1511"/>
      <c r="AB217" s="1512" t="s">
        <v>215</v>
      </c>
      <c r="AC217" s="1511"/>
      <c r="AD217" s="1510" t="s">
        <v>677</v>
      </c>
      <c r="AE217" s="1511"/>
      <c r="AF217" s="1512" t="s">
        <v>215</v>
      </c>
      <c r="AG217" s="1511"/>
      <c r="AH217" s="1510" t="s">
        <v>679</v>
      </c>
      <c r="AI217" s="1511"/>
      <c r="AJ217" s="1512" t="s">
        <v>215</v>
      </c>
      <c r="AK217" s="1511"/>
    </row>
    <row r="218" spans="1:41" ht="35.25" customHeight="1" thickTop="1" thickBot="1" x14ac:dyDescent="0.3">
      <c r="A218" s="1590"/>
      <c r="B218" s="1113"/>
      <c r="C218" s="1114"/>
      <c r="D218" s="1087"/>
      <c r="E218" s="1092"/>
      <c r="F218" s="1085"/>
      <c r="G218" s="1086"/>
      <c r="H218" s="1087"/>
      <c r="I218" s="1092"/>
      <c r="J218" s="1085"/>
      <c r="K218" s="1086"/>
      <c r="L218" s="1087"/>
      <c r="M218" s="1086"/>
      <c r="N218" s="1085"/>
      <c r="O218" s="1086"/>
      <c r="P218" s="1087"/>
      <c r="Q218" s="1086"/>
      <c r="R218" s="1115"/>
      <c r="S218" s="1114"/>
      <c r="T218" s="1087"/>
      <c r="U218" s="1086"/>
      <c r="V218" s="1085"/>
      <c r="W218" s="1086"/>
      <c r="X218" s="1087"/>
      <c r="Y218" s="1092"/>
      <c r="Z218" s="1117" t="s">
        <v>682</v>
      </c>
      <c r="AA218" s="1116" t="s">
        <v>683</v>
      </c>
      <c r="AB218" s="1116" t="s">
        <v>682</v>
      </c>
      <c r="AC218" s="1118" t="s">
        <v>683</v>
      </c>
      <c r="AD218" s="1117" t="s">
        <v>682</v>
      </c>
      <c r="AE218" s="1116" t="s">
        <v>683</v>
      </c>
      <c r="AF218" s="1116" t="s">
        <v>684</v>
      </c>
      <c r="AG218" s="1118" t="s">
        <v>683</v>
      </c>
      <c r="AH218" s="1117" t="s">
        <v>682</v>
      </c>
      <c r="AI218" s="1116" t="s">
        <v>683</v>
      </c>
      <c r="AJ218" s="1116" t="s">
        <v>682</v>
      </c>
      <c r="AK218" s="1116" t="s">
        <v>751</v>
      </c>
    </row>
    <row r="219" spans="1:41" ht="24.95" customHeight="1" thickTop="1" thickBot="1" x14ac:dyDescent="0.3">
      <c r="A219" s="440" t="s">
        <v>321</v>
      </c>
      <c r="B219" s="1564">
        <v>147357.5</v>
      </c>
      <c r="C219" s="1565"/>
      <c r="D219" s="1584">
        <f t="shared" ref="D219:D224" si="24">$B219/$B$223</f>
        <v>9.5456123961778008E-2</v>
      </c>
      <c r="E219" s="1585"/>
      <c r="F219" s="1520">
        <v>126109.85</v>
      </c>
      <c r="G219" s="1521"/>
      <c r="H219" s="1515">
        <f t="shared" ref="H219:H224" si="25">$F219/$F$223</f>
        <v>7.0963722599591689E-2</v>
      </c>
      <c r="I219" s="1608"/>
      <c r="J219" s="1557">
        <v>192580.48000000001</v>
      </c>
      <c r="K219" s="1558"/>
      <c r="L219" s="1515">
        <f t="shared" ref="L219:L224" si="26">$J219/$J$223</f>
        <v>7.6800501169677335E-2</v>
      </c>
      <c r="M219" s="1515"/>
      <c r="N219" s="1557">
        <v>151741.84</v>
      </c>
      <c r="O219" s="1558"/>
      <c r="P219" s="1515">
        <f t="shared" ref="P219:P224" si="27">$N219/$N$223</f>
        <v>6.7129552958388169E-2</v>
      </c>
      <c r="Q219" s="1515"/>
      <c r="R219" s="1564">
        <v>75074.789999999994</v>
      </c>
      <c r="S219" s="1565"/>
      <c r="T219" s="1515">
        <f t="shared" ref="T219:T224" si="28">$R219/$R$223</f>
        <v>7.3635591928386632E-2</v>
      </c>
      <c r="U219" s="1515"/>
      <c r="V219" s="1513">
        <v>113396.22</v>
      </c>
      <c r="W219" s="1514"/>
      <c r="X219" s="1515">
        <f>$V219/$V$223</f>
        <v>8.7787776705322215E-2</v>
      </c>
      <c r="Y219" s="1515"/>
      <c r="Z219" s="1083"/>
      <c r="AA219" s="1084"/>
      <c r="AB219" s="1088" t="e">
        <f>$Z219/$Z$223</f>
        <v>#DIV/0!</v>
      </c>
      <c r="AC219" s="1088"/>
      <c r="AD219" s="1083">
        <f>AB12</f>
        <v>129727.20999999999</v>
      </c>
      <c r="AE219" s="1084"/>
      <c r="AF219" s="1088">
        <f t="shared" ref="AF219:AJ224" si="29">$AD219/$AD$223</f>
        <v>5.3255604888100182E-2</v>
      </c>
      <c r="AG219" s="1088"/>
      <c r="AH219" s="1083"/>
      <c r="AI219" s="1084"/>
      <c r="AJ219" s="1088">
        <f t="shared" si="29"/>
        <v>5.3255604888100182E-2</v>
      </c>
      <c r="AK219" s="1088"/>
      <c r="AL219" s="406"/>
      <c r="AM219" s="406"/>
      <c r="AN219" s="406"/>
      <c r="AO219" s="406"/>
    </row>
    <row r="220" spans="1:41" ht="24.95" customHeight="1" thickTop="1" thickBot="1" x14ac:dyDescent="0.3">
      <c r="A220" s="440" t="s">
        <v>322</v>
      </c>
      <c r="B220" s="1631">
        <v>94869.8</v>
      </c>
      <c r="C220" s="1632"/>
      <c r="D220" s="1584">
        <f t="shared" si="24"/>
        <v>6.1455327275700848E-2</v>
      </c>
      <c r="E220" s="1585"/>
      <c r="F220" s="1520">
        <v>117289.89</v>
      </c>
      <c r="G220" s="1521"/>
      <c r="H220" s="1515">
        <f t="shared" si="25"/>
        <v>6.6000611512079532E-2</v>
      </c>
      <c r="I220" s="1608"/>
      <c r="J220" s="1518">
        <v>145125.26</v>
      </c>
      <c r="K220" s="1519"/>
      <c r="L220" s="1515">
        <f t="shared" si="26"/>
        <v>5.7875505868402274E-2</v>
      </c>
      <c r="M220" s="1515"/>
      <c r="N220" s="1518">
        <v>121581.41</v>
      </c>
      <c r="O220" s="1519"/>
      <c r="P220" s="1515">
        <f t="shared" si="27"/>
        <v>5.3786784853475517E-2</v>
      </c>
      <c r="Q220" s="1515"/>
      <c r="R220" s="1566">
        <v>112382.01</v>
      </c>
      <c r="S220" s="1556"/>
      <c r="T220" s="1515">
        <f t="shared" si="28"/>
        <v>0.11022762539131799</v>
      </c>
      <c r="U220" s="1515"/>
      <c r="V220" s="1516">
        <v>116395.74</v>
      </c>
      <c r="W220" s="1517"/>
      <c r="X220" s="1515">
        <f t="shared" ref="X220:X224" si="30">$V220/$V$223</f>
        <v>9.010991047647568E-2</v>
      </c>
      <c r="Y220" s="1515"/>
      <c r="Z220" s="1090"/>
      <c r="AA220" s="1091"/>
      <c r="AB220" s="1088" t="e">
        <f t="shared" ref="AB220:AB224" si="31">$Z220/$Z$223</f>
        <v>#DIV/0!</v>
      </c>
      <c r="AC220" s="1088"/>
      <c r="AD220" s="1090">
        <f>AB16</f>
        <v>15881.71</v>
      </c>
      <c r="AE220" s="1091"/>
      <c r="AF220" s="1088">
        <f t="shared" si="29"/>
        <v>6.5197584431777224E-3</v>
      </c>
      <c r="AG220" s="1088"/>
      <c r="AH220" s="1090"/>
      <c r="AI220" s="1091"/>
      <c r="AJ220" s="1088">
        <f t="shared" si="29"/>
        <v>6.5197584431777224E-3</v>
      </c>
      <c r="AK220" s="1088"/>
      <c r="AL220" s="406"/>
      <c r="AM220" s="406"/>
      <c r="AN220" s="406"/>
      <c r="AO220" s="406"/>
    </row>
    <row r="221" spans="1:41" ht="24.95" customHeight="1" thickTop="1" thickBot="1" x14ac:dyDescent="0.3">
      <c r="A221" s="440" t="s">
        <v>323</v>
      </c>
      <c r="B221" s="1631">
        <v>476.34</v>
      </c>
      <c r="C221" s="1632"/>
      <c r="D221" s="1584">
        <f t="shared" si="24"/>
        <v>3.0856637828378833E-4</v>
      </c>
      <c r="E221" s="1585"/>
      <c r="F221" s="1520">
        <v>1222.04</v>
      </c>
      <c r="G221" s="1521"/>
      <c r="H221" s="1515">
        <f t="shared" si="25"/>
        <v>6.8765847842658617E-4</v>
      </c>
      <c r="I221" s="1608"/>
      <c r="J221" s="1518">
        <v>1176.52</v>
      </c>
      <c r="K221" s="1519"/>
      <c r="L221" s="1515">
        <f t="shared" si="26"/>
        <v>4.6919254555886848E-4</v>
      </c>
      <c r="M221" s="1515"/>
      <c r="N221" s="1518">
        <v>1494.17</v>
      </c>
      <c r="O221" s="1519"/>
      <c r="P221" s="1515">
        <f t="shared" si="27"/>
        <v>6.610105963117018E-4</v>
      </c>
      <c r="Q221" s="1515"/>
      <c r="R221" s="1567">
        <v>442.48</v>
      </c>
      <c r="S221" s="1546"/>
      <c r="T221" s="1515">
        <f t="shared" si="28"/>
        <v>4.3399757383900131E-4</v>
      </c>
      <c r="U221" s="1515"/>
      <c r="V221" s="1516">
        <v>439.72</v>
      </c>
      <c r="W221" s="1517"/>
      <c r="X221" s="1515">
        <f t="shared" si="30"/>
        <v>3.4041735406051705E-4</v>
      </c>
      <c r="Y221" s="1515"/>
      <c r="Z221" s="1090"/>
      <c r="AA221" s="1091"/>
      <c r="AB221" s="1088" t="e">
        <f t="shared" si="31"/>
        <v>#DIV/0!</v>
      </c>
      <c r="AC221" s="1088"/>
      <c r="AD221" s="1090">
        <f>AB17</f>
        <v>10.31</v>
      </c>
      <c r="AE221" s="1091"/>
      <c r="AF221" s="1088">
        <f t="shared" si="29"/>
        <v>4.2324604560316446E-6</v>
      </c>
      <c r="AG221" s="1088"/>
      <c r="AH221" s="1090"/>
      <c r="AI221" s="1091"/>
      <c r="AJ221" s="1088">
        <f t="shared" si="29"/>
        <v>4.2324604560316446E-6</v>
      </c>
      <c r="AK221" s="1088"/>
      <c r="AL221" s="406"/>
      <c r="AM221" s="406"/>
      <c r="AN221" s="406"/>
      <c r="AO221" s="406"/>
    </row>
    <row r="222" spans="1:41" ht="24.95" customHeight="1" thickTop="1" thickBot="1" x14ac:dyDescent="0.3">
      <c r="A222" s="440" t="s">
        <v>324</v>
      </c>
      <c r="B222" s="1633">
        <f>SUM(B$219:B$221)</f>
        <v>242703.63999999998</v>
      </c>
      <c r="C222" s="1634"/>
      <c r="D222" s="1623">
        <f t="shared" si="24"/>
        <v>0.15722001761576263</v>
      </c>
      <c r="E222" s="1624"/>
      <c r="F222" s="1520">
        <f>SUM(F$219:F$221)</f>
        <v>244621.78</v>
      </c>
      <c r="G222" s="1521"/>
      <c r="H222" s="1522">
        <f t="shared" si="25"/>
        <v>0.1376519925900978</v>
      </c>
      <c r="I222" s="1599"/>
      <c r="J222" s="1518">
        <f>SUM(J219:J221)</f>
        <v>338882.26</v>
      </c>
      <c r="K222" s="1519"/>
      <c r="L222" s="1522">
        <f t="shared" si="26"/>
        <v>0.13514519958363846</v>
      </c>
      <c r="M222" s="1522"/>
      <c r="N222" s="1518">
        <f>SUM(N219:N221)</f>
        <v>274817.42</v>
      </c>
      <c r="O222" s="1519"/>
      <c r="P222" s="1522">
        <f t="shared" si="27"/>
        <v>0.12157734840817537</v>
      </c>
      <c r="Q222" s="1522"/>
      <c r="R222" s="1518">
        <f>SUM(R219:R221)</f>
        <v>187899.28</v>
      </c>
      <c r="S222" s="1519"/>
      <c r="T222" s="1522">
        <f t="shared" si="28"/>
        <v>0.18429721489354361</v>
      </c>
      <c r="U222" s="1522"/>
      <c r="V222" s="1518">
        <f>SUM(V219:V221)</f>
        <v>230231.68000000002</v>
      </c>
      <c r="W222" s="1519"/>
      <c r="X222" s="1522">
        <f t="shared" si="30"/>
        <v>0.17823810453585842</v>
      </c>
      <c r="Y222" s="1522"/>
      <c r="Z222" s="1089">
        <f>SUM(Z219:Z221)</f>
        <v>0</v>
      </c>
      <c r="AA222" s="1091">
        <f>SUM(AA219:AA221)</f>
        <v>0</v>
      </c>
      <c r="AB222" s="1081" t="e">
        <f t="shared" si="31"/>
        <v>#DIV/0!</v>
      </c>
      <c r="AC222" s="1081"/>
      <c r="AD222" s="1089">
        <f>SUM(AD219:AD221)</f>
        <v>145619.22999999998</v>
      </c>
      <c r="AE222" s="1091"/>
      <c r="AF222" s="1081">
        <f t="shared" si="29"/>
        <v>5.9779595791733933E-2</v>
      </c>
      <c r="AG222" s="1081"/>
      <c r="AH222" s="1089">
        <f>SUM(AH219:AH221)</f>
        <v>0</v>
      </c>
      <c r="AI222" s="1091"/>
      <c r="AJ222" s="1081">
        <f t="shared" si="29"/>
        <v>5.9779595791733933E-2</v>
      </c>
      <c r="AK222" s="1081"/>
      <c r="AL222" s="406"/>
      <c r="AM222" s="406"/>
      <c r="AN222" s="406"/>
      <c r="AO222" s="406"/>
    </row>
    <row r="223" spans="1:41" ht="24.95" customHeight="1" thickTop="1" thickBot="1" x14ac:dyDescent="0.3">
      <c r="A223" s="439" t="s">
        <v>63</v>
      </c>
      <c r="B223" s="1635">
        <v>1543719.71</v>
      </c>
      <c r="C223" s="1517"/>
      <c r="D223" s="1584">
        <f t="shared" si="24"/>
        <v>1</v>
      </c>
      <c r="E223" s="1585"/>
      <c r="F223" s="1518">
        <v>1777103.08</v>
      </c>
      <c r="G223" s="1519"/>
      <c r="H223" s="1515">
        <f t="shared" si="25"/>
        <v>1</v>
      </c>
      <c r="I223" s="1608"/>
      <c r="J223" s="1518">
        <v>2507541.9700000002</v>
      </c>
      <c r="K223" s="1519"/>
      <c r="L223" s="1515">
        <f t="shared" si="26"/>
        <v>1</v>
      </c>
      <c r="M223" s="1515"/>
      <c r="N223" s="1518">
        <v>2260432.75</v>
      </c>
      <c r="O223" s="1519"/>
      <c r="P223" s="1515">
        <f t="shared" si="27"/>
        <v>1</v>
      </c>
      <c r="Q223" s="1515"/>
      <c r="R223" s="1518">
        <v>1019544.87</v>
      </c>
      <c r="S223" s="1519"/>
      <c r="T223" s="1515">
        <f t="shared" si="28"/>
        <v>1</v>
      </c>
      <c r="U223" s="1515"/>
      <c r="V223" s="1518">
        <v>1291708.53</v>
      </c>
      <c r="W223" s="1519"/>
      <c r="X223" s="1515">
        <f t="shared" si="30"/>
        <v>1</v>
      </c>
      <c r="Y223" s="1515"/>
      <c r="Z223" s="1089"/>
      <c r="AA223" s="1091"/>
      <c r="AB223" s="1088" t="e">
        <f t="shared" si="31"/>
        <v>#DIV/0!</v>
      </c>
      <c r="AC223" s="1088"/>
      <c r="AD223" s="1089">
        <f>AB3</f>
        <v>2435935.3400000003</v>
      </c>
      <c r="AE223" s="1091"/>
      <c r="AF223" s="1088">
        <f t="shared" si="29"/>
        <v>1</v>
      </c>
      <c r="AG223" s="1088"/>
      <c r="AH223" s="1089"/>
      <c r="AI223" s="1091"/>
      <c r="AJ223" s="1088">
        <f t="shared" si="29"/>
        <v>1</v>
      </c>
      <c r="AK223" s="1088"/>
      <c r="AL223" s="406"/>
      <c r="AM223" s="406"/>
      <c r="AN223" s="406"/>
      <c r="AO223" s="406"/>
    </row>
    <row r="224" spans="1:41" ht="24.95" customHeight="1" thickTop="1" thickBot="1" x14ac:dyDescent="0.3">
      <c r="A224" s="441" t="s">
        <v>302</v>
      </c>
      <c r="B224" s="1635">
        <f>B$223-B$222</f>
        <v>1301016.07</v>
      </c>
      <c r="C224" s="1517"/>
      <c r="D224" s="1623">
        <f t="shared" si="24"/>
        <v>0.84277998238423746</v>
      </c>
      <c r="E224" s="1624"/>
      <c r="F224" s="1518">
        <f>F223-F222</f>
        <v>1532481.3</v>
      </c>
      <c r="G224" s="1519"/>
      <c r="H224" s="1522">
        <f t="shared" si="25"/>
        <v>0.86234800740990214</v>
      </c>
      <c r="I224" s="1599"/>
      <c r="J224" s="1518">
        <f>J223-J222</f>
        <v>2168659.71</v>
      </c>
      <c r="K224" s="1519"/>
      <c r="L224" s="1522">
        <f t="shared" si="26"/>
        <v>0.86485480041636142</v>
      </c>
      <c r="M224" s="1522"/>
      <c r="N224" s="1518">
        <f>N223-N222</f>
        <v>1985615.33</v>
      </c>
      <c r="O224" s="1519"/>
      <c r="P224" s="1522">
        <f t="shared" si="27"/>
        <v>0.87842265159182464</v>
      </c>
      <c r="Q224" s="1522"/>
      <c r="R224" s="1518">
        <f>R223-R222</f>
        <v>831645.59</v>
      </c>
      <c r="S224" s="1519"/>
      <c r="T224" s="1522">
        <f t="shared" si="28"/>
        <v>0.81570278510645633</v>
      </c>
      <c r="U224" s="1522"/>
      <c r="V224" s="1518">
        <f>V223-V222</f>
        <v>1061476.8500000001</v>
      </c>
      <c r="W224" s="1519"/>
      <c r="X224" s="1522">
        <f t="shared" si="30"/>
        <v>0.82176189546414169</v>
      </c>
      <c r="Y224" s="1522"/>
      <c r="Z224" s="1089">
        <f>Z223-Z222</f>
        <v>0</v>
      </c>
      <c r="AA224" s="1091">
        <f>AA223-AA222</f>
        <v>0</v>
      </c>
      <c r="AB224" s="1081" t="e">
        <f t="shared" si="31"/>
        <v>#DIV/0!</v>
      </c>
      <c r="AC224" s="1081"/>
      <c r="AD224" s="1089">
        <f>AD223-AD222</f>
        <v>2290316.1100000003</v>
      </c>
      <c r="AE224" s="1091"/>
      <c r="AF224" s="1081">
        <f t="shared" si="29"/>
        <v>0.94022040420826603</v>
      </c>
      <c r="AG224" s="1081"/>
      <c r="AH224" s="1089">
        <f>AH223-AH222</f>
        <v>0</v>
      </c>
      <c r="AI224" s="1091"/>
      <c r="AJ224" s="1081">
        <f t="shared" si="29"/>
        <v>0.94022040420826603</v>
      </c>
      <c r="AK224" s="1081"/>
      <c r="AL224" s="406"/>
      <c r="AM224" s="406"/>
      <c r="AN224" s="406"/>
      <c r="AO224" s="406"/>
    </row>
    <row r="225" spans="1:49" ht="24.95" customHeight="1" thickTop="1" thickBot="1" x14ac:dyDescent="0.3">
      <c r="A225" s="442"/>
      <c r="B225" s="450"/>
      <c r="C225" s="450"/>
      <c r="D225" s="450"/>
      <c r="E225" s="450"/>
      <c r="F225" s="560"/>
      <c r="G225" s="560"/>
      <c r="H225" s="560"/>
      <c r="I225" s="918"/>
      <c r="J225" s="450"/>
      <c r="K225" s="450"/>
      <c r="L225" s="450"/>
      <c r="M225" s="450"/>
      <c r="N225" s="450"/>
      <c r="O225" s="450"/>
      <c r="P225" s="450"/>
      <c r="Q225" s="450"/>
      <c r="R225" s="450"/>
      <c r="S225" s="450"/>
      <c r="T225" s="450"/>
      <c r="U225" s="450"/>
      <c r="V225" s="450"/>
      <c r="W225" s="450"/>
      <c r="X225" s="450"/>
      <c r="Y225" s="450"/>
      <c r="Z225" s="450"/>
      <c r="AA225" s="450"/>
      <c r="AB225" s="450"/>
      <c r="AC225" s="450"/>
      <c r="AD225" s="450"/>
      <c r="AE225" s="450"/>
      <c r="AF225" s="450"/>
      <c r="AG225" s="450"/>
      <c r="AH225" s="450"/>
      <c r="AI225" s="450"/>
      <c r="AJ225" s="450"/>
      <c r="AK225" s="450"/>
      <c r="AL225" s="406"/>
      <c r="AM225" s="406"/>
      <c r="AN225" s="406"/>
      <c r="AO225" s="406"/>
    </row>
    <row r="226" spans="1:49" ht="35.25" customHeight="1" thickTop="1" thickBot="1" x14ac:dyDescent="0.3">
      <c r="A226" s="1589" t="s">
        <v>325</v>
      </c>
      <c r="B226" s="1542">
        <v>2005</v>
      </c>
      <c r="C226" s="1541"/>
      <c r="D226" s="1542" t="s">
        <v>215</v>
      </c>
      <c r="E226" s="1544"/>
      <c r="F226" s="1540">
        <v>2006</v>
      </c>
      <c r="G226" s="1541"/>
      <c r="H226" s="1542" t="s">
        <v>215</v>
      </c>
      <c r="I226" s="1543"/>
      <c r="J226" s="1540">
        <v>2007</v>
      </c>
      <c r="K226" s="1541"/>
      <c r="L226" s="1542" t="s">
        <v>215</v>
      </c>
      <c r="M226" s="1543"/>
      <c r="N226" s="1540">
        <v>2008</v>
      </c>
      <c r="O226" s="1541"/>
      <c r="P226" s="1542" t="s">
        <v>215</v>
      </c>
      <c r="Q226" s="1543"/>
      <c r="R226" s="1540">
        <v>2009</v>
      </c>
      <c r="S226" s="1541"/>
      <c r="T226" s="1542" t="s">
        <v>215</v>
      </c>
      <c r="U226" s="1543"/>
      <c r="V226" s="1540">
        <v>2010</v>
      </c>
      <c r="W226" s="1541"/>
      <c r="X226" s="1542" t="s">
        <v>215</v>
      </c>
      <c r="Y226" s="1543"/>
      <c r="Z226" s="1510" t="s">
        <v>678</v>
      </c>
      <c r="AA226" s="1511"/>
      <c r="AB226" s="1512" t="s">
        <v>215</v>
      </c>
      <c r="AC226" s="1511"/>
      <c r="AD226" s="1540" t="s">
        <v>677</v>
      </c>
      <c r="AE226" s="1541"/>
      <c r="AF226" s="1542" t="s">
        <v>215</v>
      </c>
      <c r="AG226" s="1543"/>
      <c r="AH226" s="1540" t="s">
        <v>679</v>
      </c>
      <c r="AI226" s="1541"/>
      <c r="AJ226" s="1542" t="s">
        <v>215</v>
      </c>
      <c r="AK226" s="1543"/>
      <c r="AL226" s="406"/>
      <c r="AM226" s="406"/>
      <c r="AN226" s="406"/>
      <c r="AO226" s="406"/>
    </row>
    <row r="227" spans="1:49" ht="35.25" customHeight="1" thickTop="1" thickBot="1" x14ac:dyDescent="0.3">
      <c r="A227" s="1590"/>
      <c r="B227" s="1119"/>
      <c r="C227" s="1120"/>
      <c r="D227" s="1077"/>
      <c r="E227" s="1079"/>
      <c r="F227" s="1082"/>
      <c r="G227" s="1080"/>
      <c r="H227" s="1077"/>
      <c r="I227" s="1078"/>
      <c r="J227" s="1082"/>
      <c r="K227" s="1080"/>
      <c r="L227" s="1077"/>
      <c r="M227" s="1078"/>
      <c r="N227" s="1082"/>
      <c r="O227" s="1080"/>
      <c r="P227" s="1077"/>
      <c r="Q227" s="1078"/>
      <c r="R227" s="1121"/>
      <c r="S227" s="1120"/>
      <c r="T227" s="1077"/>
      <c r="U227" s="1078"/>
      <c r="V227" s="1082"/>
      <c r="W227" s="1080"/>
      <c r="X227" s="1077"/>
      <c r="Y227" s="1078"/>
      <c r="Z227" s="1117"/>
      <c r="AA227" s="1116"/>
      <c r="AB227" s="1116"/>
      <c r="AC227" s="1118"/>
      <c r="AD227" s="1082"/>
      <c r="AE227" s="1080"/>
      <c r="AF227" s="1077"/>
      <c r="AG227" s="1078"/>
      <c r="AH227" s="1082"/>
      <c r="AI227" s="1080"/>
      <c r="AJ227" s="1077"/>
      <c r="AK227" s="1078"/>
      <c r="AL227" s="406"/>
      <c r="AM227" s="406"/>
      <c r="AN227" s="406"/>
      <c r="AO227" s="406"/>
    </row>
    <row r="228" spans="1:49" ht="24.95" customHeight="1" thickTop="1" thickBot="1" x14ac:dyDescent="0.3">
      <c r="A228" s="440" t="s">
        <v>313</v>
      </c>
      <c r="B228" s="1564">
        <v>588446.09</v>
      </c>
      <c r="C228" s="1565"/>
      <c r="D228" s="1599">
        <f t="shared" ref="D228:D233" si="32">$B228/$B$224</f>
        <v>0.45229732635047309</v>
      </c>
      <c r="E228" s="1600"/>
      <c r="F228" s="1557">
        <v>670268.46</v>
      </c>
      <c r="G228" s="1558"/>
      <c r="H228" s="1522">
        <f t="shared" ref="H228:H233" si="33">$F228/$F$224</f>
        <v>0.43737464202662696</v>
      </c>
      <c r="I228" s="1523"/>
      <c r="J228" s="1557">
        <v>850702.23</v>
      </c>
      <c r="K228" s="1558"/>
      <c r="L228" s="1522">
        <f t="shared" ref="L228:L233" si="34">$J228/$J$224</f>
        <v>0.39227096168075165</v>
      </c>
      <c r="M228" s="1523"/>
      <c r="N228" s="1557">
        <v>847623.47</v>
      </c>
      <c r="O228" s="1558"/>
      <c r="P228" s="1522">
        <f t="shared" ref="P228:P233" si="35">$N228/$N$224</f>
        <v>0.42688201344617938</v>
      </c>
      <c r="Q228" s="1523"/>
      <c r="R228" s="1646">
        <v>511697.44</v>
      </c>
      <c r="S228" s="1565"/>
      <c r="T228" s="1522">
        <f t="shared" ref="T228:T233" si="36">$R228/$R$224</f>
        <v>0.61528305585075005</v>
      </c>
      <c r="U228" s="1523"/>
      <c r="V228" s="1557">
        <v>613127.13</v>
      </c>
      <c r="W228" s="1558"/>
      <c r="X228" s="1522">
        <f>$V228/$V$224</f>
        <v>0.57761705307091715</v>
      </c>
      <c r="Y228" s="1523"/>
      <c r="Z228" s="1083"/>
      <c r="AA228" s="1084"/>
      <c r="AB228" s="1088" t="e">
        <f>$Z228/$Z$224</f>
        <v>#DIV/0!</v>
      </c>
      <c r="AC228" s="1088" t="e">
        <f t="shared" ref="AC228:AC233" si="37">$AA228/$AA$224</f>
        <v>#DIV/0!</v>
      </c>
      <c r="AD228" s="1557">
        <f>AB6</f>
        <v>130050.95999999999</v>
      </c>
      <c r="AE228" s="1558"/>
      <c r="AF228" s="1522">
        <f t="shared" ref="AF228:AJ233" si="38">$AD228/$AD$224</f>
        <v>5.6782973945024545E-2</v>
      </c>
      <c r="AG228" s="1523"/>
      <c r="AH228" s="1557"/>
      <c r="AI228" s="1558"/>
      <c r="AJ228" s="1522">
        <f t="shared" si="38"/>
        <v>5.6782973945024545E-2</v>
      </c>
      <c r="AK228" s="1523"/>
      <c r="AL228" s="406"/>
      <c r="AM228" s="406"/>
      <c r="AN228" s="406"/>
      <c r="AO228" s="406"/>
    </row>
    <row r="229" spans="1:49" ht="24.95" customHeight="1" thickTop="1" thickBot="1" x14ac:dyDescent="0.3">
      <c r="A229" s="440" t="s">
        <v>326</v>
      </c>
      <c r="B229" s="1631">
        <v>278502.63</v>
      </c>
      <c r="C229" s="1632"/>
      <c r="D229" s="1599">
        <f t="shared" si="32"/>
        <v>0.21406548037488882</v>
      </c>
      <c r="E229" s="1600"/>
      <c r="F229" s="1520">
        <v>316877</v>
      </c>
      <c r="G229" s="1521"/>
      <c r="H229" s="1522">
        <f t="shared" si="33"/>
        <v>0.20677381185662755</v>
      </c>
      <c r="I229" s="1523"/>
      <c r="J229" s="1520">
        <v>270587.78999999998</v>
      </c>
      <c r="K229" s="1521"/>
      <c r="L229" s="1522">
        <f t="shared" si="34"/>
        <v>0.12477189886097897</v>
      </c>
      <c r="M229" s="1523"/>
      <c r="N229" s="1520">
        <v>211905.78</v>
      </c>
      <c r="O229" s="1521"/>
      <c r="P229" s="1522">
        <f t="shared" si="35"/>
        <v>0.10672045929460063</v>
      </c>
      <c r="Q229" s="1523"/>
      <c r="R229" s="1555">
        <v>50673.54</v>
      </c>
      <c r="S229" s="1556"/>
      <c r="T229" s="1522">
        <f t="shared" si="36"/>
        <v>6.0931652388128463E-2</v>
      </c>
      <c r="U229" s="1523"/>
      <c r="V229" s="1520">
        <v>64073.77</v>
      </c>
      <c r="W229" s="1521"/>
      <c r="X229" s="1522">
        <f t="shared" ref="X229:X233" si="39">$V229/$V$224</f>
        <v>6.0362852001906581E-2</v>
      </c>
      <c r="Y229" s="1523"/>
      <c r="Z229" s="1090"/>
      <c r="AA229" s="1091"/>
      <c r="AB229" s="1088" t="e">
        <f t="shared" ref="AB229:AB233" si="40">$Z229/$Z$224</f>
        <v>#DIV/0!</v>
      </c>
      <c r="AC229" s="1088" t="e">
        <f t="shared" si="37"/>
        <v>#DIV/0!</v>
      </c>
      <c r="AD229" s="1520">
        <f>AB13-AB14</f>
        <v>382710.11</v>
      </c>
      <c r="AE229" s="1521"/>
      <c r="AF229" s="1522">
        <f t="shared" si="38"/>
        <v>0.16709925251322619</v>
      </c>
      <c r="AG229" s="1523"/>
      <c r="AH229" s="1520"/>
      <c r="AI229" s="1521"/>
      <c r="AJ229" s="1522">
        <f t="shared" si="38"/>
        <v>0.16709925251322619</v>
      </c>
      <c r="AK229" s="1523"/>
      <c r="AL229" s="406"/>
      <c r="AM229" s="406"/>
      <c r="AN229" s="406"/>
      <c r="AO229" s="406"/>
    </row>
    <row r="230" spans="1:49" ht="24.95" customHeight="1" thickTop="1" thickBot="1" x14ac:dyDescent="0.3">
      <c r="A230" s="440" t="s">
        <v>327</v>
      </c>
      <c r="B230" s="1631">
        <v>104121.91</v>
      </c>
      <c r="C230" s="1632"/>
      <c r="D230" s="1599">
        <f t="shared" si="32"/>
        <v>8.0031225133137665E-2</v>
      </c>
      <c r="E230" s="1600"/>
      <c r="F230" s="1520">
        <v>99031.27</v>
      </c>
      <c r="G230" s="1521"/>
      <c r="H230" s="1522">
        <f t="shared" si="33"/>
        <v>6.4621519362095967E-2</v>
      </c>
      <c r="I230" s="1523"/>
      <c r="J230" s="1520">
        <v>149556.91</v>
      </c>
      <c r="K230" s="1521"/>
      <c r="L230" s="1522">
        <f t="shared" si="34"/>
        <v>6.8962829581041094E-2</v>
      </c>
      <c r="M230" s="1523"/>
      <c r="N230" s="1520">
        <v>175823.42</v>
      </c>
      <c r="O230" s="1521"/>
      <c r="P230" s="1522">
        <f t="shared" si="35"/>
        <v>8.8548581058749187E-2</v>
      </c>
      <c r="Q230" s="1523"/>
      <c r="R230" s="1555">
        <v>72203.759999999995</v>
      </c>
      <c r="S230" s="1556"/>
      <c r="T230" s="1522">
        <f t="shared" si="36"/>
        <v>8.6820348557370447E-2</v>
      </c>
      <c r="U230" s="1523"/>
      <c r="V230" s="1520">
        <v>67873.61</v>
      </c>
      <c r="W230" s="1521"/>
      <c r="X230" s="1522">
        <f t="shared" si="39"/>
        <v>6.3942619191365305E-2</v>
      </c>
      <c r="Y230" s="1523"/>
      <c r="Z230" s="1090"/>
      <c r="AA230" s="1091"/>
      <c r="AB230" s="1088" t="e">
        <f t="shared" si="40"/>
        <v>#DIV/0!</v>
      </c>
      <c r="AC230" s="1088" t="e">
        <f t="shared" si="37"/>
        <v>#DIV/0!</v>
      </c>
      <c r="AD230" s="1520">
        <f>AB15</f>
        <v>18423.309999999998</v>
      </c>
      <c r="AE230" s="1521"/>
      <c r="AF230" s="1522">
        <f t="shared" si="38"/>
        <v>8.0440031485435413E-3</v>
      </c>
      <c r="AG230" s="1523"/>
      <c r="AH230" s="1520"/>
      <c r="AI230" s="1521"/>
      <c r="AJ230" s="1522">
        <f t="shared" si="38"/>
        <v>8.0440031485435413E-3</v>
      </c>
      <c r="AK230" s="1523"/>
      <c r="AL230" s="406"/>
      <c r="AM230" s="406"/>
      <c r="AN230" s="406"/>
      <c r="AO230" s="406"/>
    </row>
    <row r="231" spans="1:49" ht="24.95" customHeight="1" thickTop="1" thickBot="1" x14ac:dyDescent="0.3">
      <c r="A231" s="440" t="s">
        <v>60</v>
      </c>
      <c r="B231" s="1639">
        <v>170889.16</v>
      </c>
      <c r="C231" s="1548"/>
      <c r="D231" s="1599">
        <f t="shared" si="32"/>
        <v>0.1313505374303332</v>
      </c>
      <c r="E231" s="1600"/>
      <c r="F231" s="1557">
        <v>256563</v>
      </c>
      <c r="G231" s="1558"/>
      <c r="H231" s="1522">
        <f t="shared" si="33"/>
        <v>0.16741672475872951</v>
      </c>
      <c r="I231" s="1523"/>
      <c r="J231" s="1557">
        <v>290085.2</v>
      </c>
      <c r="K231" s="1558"/>
      <c r="L231" s="1522">
        <f t="shared" si="34"/>
        <v>0.13376243338794724</v>
      </c>
      <c r="M231" s="1523"/>
      <c r="N231" s="1557">
        <v>268256.62</v>
      </c>
      <c r="O231" s="1558"/>
      <c r="P231" s="1522">
        <f t="shared" si="35"/>
        <v>0.13509999441835494</v>
      </c>
      <c r="Q231" s="1523"/>
      <c r="R231" s="1547">
        <v>145627.29999999999</v>
      </c>
      <c r="S231" s="1548"/>
      <c r="T231" s="1522">
        <f t="shared" si="36"/>
        <v>0.17510740362369984</v>
      </c>
      <c r="U231" s="1523"/>
      <c r="V231" s="1557">
        <v>194918.24</v>
      </c>
      <c r="W231" s="1558"/>
      <c r="X231" s="1522">
        <f t="shared" si="39"/>
        <v>0.18362928970141928</v>
      </c>
      <c r="Y231" s="1523"/>
      <c r="Z231" s="1089"/>
      <c r="AA231" s="1091"/>
      <c r="AB231" s="1081" t="e">
        <f t="shared" si="40"/>
        <v>#DIV/0!</v>
      </c>
      <c r="AC231" s="1081" t="e">
        <f t="shared" si="37"/>
        <v>#DIV/0!</v>
      </c>
      <c r="AD231" s="1557">
        <f>AB11</f>
        <v>14311.34</v>
      </c>
      <c r="AE231" s="1558"/>
      <c r="AF231" s="1522">
        <f t="shared" si="38"/>
        <v>6.2486308931390252E-3</v>
      </c>
      <c r="AG231" s="1523"/>
      <c r="AH231" s="1557"/>
      <c r="AI231" s="1558"/>
      <c r="AJ231" s="1522">
        <f t="shared" si="38"/>
        <v>6.2486308931390252E-3</v>
      </c>
      <c r="AK231" s="1523"/>
      <c r="AL231" s="406"/>
      <c r="AM231" s="406"/>
      <c r="AN231" s="406"/>
      <c r="AO231" s="406"/>
    </row>
    <row r="232" spans="1:49" ht="24.95" customHeight="1" thickTop="1" thickBot="1" x14ac:dyDescent="0.3">
      <c r="A232" s="440" t="s">
        <v>317</v>
      </c>
      <c r="B232" s="1631">
        <v>3015</v>
      </c>
      <c r="C232" s="1632"/>
      <c r="D232" s="1599">
        <f t="shared" si="32"/>
        <v>2.3174194919821397E-3</v>
      </c>
      <c r="E232" s="1600"/>
      <c r="F232" s="1520">
        <v>7399.74</v>
      </c>
      <c r="G232" s="1521"/>
      <c r="H232" s="1522">
        <f t="shared" si="33"/>
        <v>4.8286005186490687E-3</v>
      </c>
      <c r="I232" s="1523"/>
      <c r="J232" s="1520">
        <v>6107.52</v>
      </c>
      <c r="K232" s="1521"/>
      <c r="L232" s="1522">
        <f t="shared" si="34"/>
        <v>2.8162647979474847E-3</v>
      </c>
      <c r="M232" s="1523"/>
      <c r="N232" s="1520">
        <v>10989.41</v>
      </c>
      <c r="O232" s="1521"/>
      <c r="P232" s="1522">
        <f t="shared" si="35"/>
        <v>5.5345110575873721E-3</v>
      </c>
      <c r="Q232" s="1523"/>
      <c r="R232" s="1555">
        <v>8172.19</v>
      </c>
      <c r="S232" s="1556"/>
      <c r="T232" s="1522">
        <f t="shared" si="36"/>
        <v>9.8265295917699755E-3</v>
      </c>
      <c r="U232" s="1523"/>
      <c r="V232" s="1520">
        <v>9795.69</v>
      </c>
      <c r="W232" s="1521"/>
      <c r="X232" s="1522">
        <f t="shared" si="39"/>
        <v>9.2283595256929061E-3</v>
      </c>
      <c r="Y232" s="1523"/>
      <c r="Z232" s="1089"/>
      <c r="AA232" s="1091"/>
      <c r="AB232" s="1088" t="e">
        <f t="shared" si="40"/>
        <v>#DIV/0!</v>
      </c>
      <c r="AC232" s="1088" t="e">
        <f t="shared" si="37"/>
        <v>#DIV/0!</v>
      </c>
      <c r="AD232" s="1520">
        <f>AB18</f>
        <v>7822.4700000000012</v>
      </c>
      <c r="AE232" s="1521"/>
      <c r="AF232" s="1522">
        <f t="shared" si="38"/>
        <v>3.4154542972672885E-3</v>
      </c>
      <c r="AG232" s="1523"/>
      <c r="AH232" s="1520"/>
      <c r="AI232" s="1521"/>
      <c r="AJ232" s="1522">
        <f t="shared" si="38"/>
        <v>3.4154542972672885E-3</v>
      </c>
      <c r="AK232" s="1523"/>
      <c r="AL232" s="406"/>
      <c r="AM232" s="406"/>
      <c r="AN232" s="406"/>
      <c r="AO232" s="406"/>
    </row>
    <row r="233" spans="1:49" ht="24.95" customHeight="1" thickTop="1" thickBot="1" x14ac:dyDescent="0.3">
      <c r="A233" s="440" t="s">
        <v>316</v>
      </c>
      <c r="B233" s="1633">
        <v>75622.61</v>
      </c>
      <c r="C233" s="1634"/>
      <c r="D233" s="1599">
        <f t="shared" si="32"/>
        <v>5.8125807777301322E-2</v>
      </c>
      <c r="E233" s="1600"/>
      <c r="F233" s="1520">
        <v>83365.86</v>
      </c>
      <c r="G233" s="1521"/>
      <c r="H233" s="1522">
        <f t="shared" si="33"/>
        <v>5.439926738420886E-2</v>
      </c>
      <c r="I233" s="1523"/>
      <c r="J233" s="1520">
        <v>79383.070000000007</v>
      </c>
      <c r="K233" s="1521"/>
      <c r="L233" s="1522">
        <f t="shared" si="34"/>
        <v>3.6604668604278176E-2</v>
      </c>
      <c r="M233" s="1523"/>
      <c r="N233" s="1520">
        <v>88853.79</v>
      </c>
      <c r="O233" s="1521"/>
      <c r="P233" s="1522">
        <f t="shared" si="35"/>
        <v>4.4748742950126194E-2</v>
      </c>
      <c r="Q233" s="1523"/>
      <c r="R233" s="1545">
        <v>58020.35</v>
      </c>
      <c r="S233" s="1546"/>
      <c r="T233" s="1522">
        <f t="shared" si="36"/>
        <v>6.976571594638048E-2</v>
      </c>
      <c r="U233" s="1523"/>
      <c r="V233" s="1520">
        <v>78322.95</v>
      </c>
      <c r="W233" s="1521"/>
      <c r="X233" s="1522">
        <f t="shared" si="39"/>
        <v>7.378677170397073E-2</v>
      </c>
      <c r="Y233" s="1523"/>
      <c r="Z233" s="1089"/>
      <c r="AA233" s="1091"/>
      <c r="AB233" s="1088" t="e">
        <f t="shared" si="40"/>
        <v>#DIV/0!</v>
      </c>
      <c r="AC233" s="1088" t="e">
        <f t="shared" si="37"/>
        <v>#DIV/0!</v>
      </c>
      <c r="AD233" s="1520">
        <f>AB19</f>
        <v>84818.83</v>
      </c>
      <c r="AE233" s="1521"/>
      <c r="AF233" s="1522">
        <f t="shared" si="38"/>
        <v>3.7033678289937012E-2</v>
      </c>
      <c r="AG233" s="1523"/>
      <c r="AH233" s="1520"/>
      <c r="AI233" s="1521"/>
      <c r="AJ233" s="1522">
        <f t="shared" si="38"/>
        <v>3.7033678289937012E-2</v>
      </c>
      <c r="AK233" s="1523"/>
      <c r="AL233" s="406"/>
      <c r="AM233" s="406"/>
      <c r="AN233" s="406"/>
      <c r="AO233" s="406"/>
    </row>
    <row r="234" spans="1:49" ht="24.95" customHeight="1" thickTop="1" thickBot="1" x14ac:dyDescent="0.3">
      <c r="A234" s="443" t="s">
        <v>328</v>
      </c>
      <c r="B234" s="1605">
        <v>2005</v>
      </c>
      <c r="C234" s="1550"/>
      <c r="D234" s="1550"/>
      <c r="E234" s="1550"/>
      <c r="F234" s="1549">
        <v>2006</v>
      </c>
      <c r="G234" s="1550"/>
      <c r="H234" s="1550"/>
      <c r="I234" s="1551"/>
      <c r="J234" s="1549">
        <v>2007</v>
      </c>
      <c r="K234" s="1550"/>
      <c r="L234" s="1550"/>
      <c r="M234" s="1551"/>
      <c r="N234" s="1549">
        <v>2008</v>
      </c>
      <c r="O234" s="1550"/>
      <c r="P234" s="1550"/>
      <c r="Q234" s="1551"/>
      <c r="R234" s="1549">
        <v>2009</v>
      </c>
      <c r="S234" s="1550"/>
      <c r="T234" s="1550"/>
      <c r="U234" s="1551"/>
      <c r="V234" s="1549">
        <v>2010</v>
      </c>
      <c r="W234" s="1550"/>
      <c r="X234" s="1550"/>
      <c r="Y234" s="1551"/>
      <c r="Z234" s="1549" t="s">
        <v>682</v>
      </c>
      <c r="AA234" s="1643"/>
      <c r="AB234" s="1550" t="s">
        <v>683</v>
      </c>
      <c r="AC234" s="1551"/>
      <c r="AD234" s="1549" t="s">
        <v>677</v>
      </c>
      <c r="AE234" s="1550"/>
      <c r="AF234" s="1550"/>
      <c r="AG234" s="1551"/>
      <c r="AH234" s="1549" t="s">
        <v>680</v>
      </c>
      <c r="AI234" s="1550"/>
      <c r="AJ234" s="1550"/>
      <c r="AK234" s="1551"/>
      <c r="AL234" s="406"/>
      <c r="AM234" s="406"/>
      <c r="AN234" s="406"/>
      <c r="AO234" s="406"/>
    </row>
    <row r="235" spans="1:49" ht="24.95" customHeight="1" thickTop="1" thickBot="1" x14ac:dyDescent="0.35">
      <c r="A235" s="444"/>
      <c r="B235" s="1601">
        <f>(B224-SUM(B228:B233))/B224</f>
        <v>6.1812203441883637E-2</v>
      </c>
      <c r="C235" s="1602"/>
      <c r="D235" s="1602"/>
      <c r="E235" s="1602"/>
      <c r="F235" s="1552">
        <f>(F224-SUM(F228:F233))/F224</f>
        <v>6.4585434093062E-2</v>
      </c>
      <c r="G235" s="1553"/>
      <c r="H235" s="1553"/>
      <c r="I235" s="1554"/>
      <c r="J235" s="1552">
        <f>(J224-SUM(J228:J233))/J224</f>
        <v>0.24081094308705536</v>
      </c>
      <c r="K235" s="1553"/>
      <c r="L235" s="1553"/>
      <c r="M235" s="1554"/>
      <c r="N235" s="1552">
        <f>(N224-SUM(N228:N233))/N224</f>
        <v>0.19246569777440228</v>
      </c>
      <c r="O235" s="1553"/>
      <c r="P235" s="1553"/>
      <c r="Q235" s="1554"/>
      <c r="R235" s="1640">
        <f>(R224-SUM(R228:R233))/R224</f>
        <v>-1.773470595809928E-2</v>
      </c>
      <c r="S235" s="1641"/>
      <c r="T235" s="1641"/>
      <c r="U235" s="1642"/>
      <c r="V235" s="1552">
        <f>(V224-SUM(V228:V233))/V224</f>
        <v>3.143305480472814E-2</v>
      </c>
      <c r="W235" s="1553"/>
      <c r="X235" s="1553"/>
      <c r="Y235" s="1553"/>
      <c r="Z235" s="1552" t="e">
        <f>(Z224-SUM(Z228:Z233))/Z224</f>
        <v>#DIV/0!</v>
      </c>
      <c r="AA235" s="1644"/>
      <c r="AB235" s="1645" t="e">
        <f>(AA224-SUM(AA228:AA233))/AA224</f>
        <v>#DIV/0!</v>
      </c>
      <c r="AC235" s="1554"/>
      <c r="AD235" s="1552">
        <f>(AD224-SUM(AD228:AD233))/AD224</f>
        <v>0.72137600691286252</v>
      </c>
      <c r="AE235" s="1553"/>
      <c r="AF235" s="1553"/>
      <c r="AG235" s="1554"/>
      <c r="AH235" s="1552" t="e">
        <f>(AH224-SUM(AH228:AH233))/AH224</f>
        <v>#DIV/0!</v>
      </c>
      <c r="AI235" s="1553"/>
      <c r="AJ235" s="1553"/>
      <c r="AK235" s="1554"/>
      <c r="AL235" s="406"/>
      <c r="AM235" s="406"/>
      <c r="AN235" s="406"/>
      <c r="AO235" s="406"/>
    </row>
    <row r="236" spans="1:49" ht="24.95" customHeight="1" thickTop="1" thickBot="1" x14ac:dyDescent="0.3">
      <c r="B236" s="406"/>
      <c r="C236" s="406"/>
      <c r="D236" s="406"/>
      <c r="E236" s="406"/>
      <c r="F236" s="893"/>
      <c r="G236" s="894"/>
      <c r="H236" s="894"/>
      <c r="I236" s="919"/>
      <c r="J236" s="406"/>
      <c r="K236" s="406"/>
      <c r="L236" s="406"/>
      <c r="M236" s="406"/>
      <c r="N236" s="406"/>
      <c r="O236" s="406"/>
      <c r="P236" s="406"/>
      <c r="Q236" s="406"/>
      <c r="R236" s="406"/>
      <c r="S236" s="406"/>
      <c r="T236" s="406"/>
      <c r="U236" s="406"/>
      <c r="V236" s="406"/>
      <c r="W236" s="406"/>
      <c r="X236" s="406"/>
      <c r="Y236" s="406"/>
      <c r="Z236" s="406"/>
      <c r="AA236" s="406"/>
      <c r="AB236" s="406"/>
      <c r="AC236" s="406"/>
      <c r="AD236" s="406"/>
      <c r="AE236" s="406"/>
      <c r="AF236" s="406"/>
      <c r="AG236" s="406"/>
      <c r="AH236" s="406"/>
      <c r="AI236" s="406"/>
      <c r="AJ236" s="406"/>
      <c r="AK236" s="406"/>
      <c r="AL236" s="406"/>
      <c r="AM236" s="406"/>
      <c r="AN236" s="406"/>
      <c r="AO236" s="406"/>
    </row>
    <row r="237" spans="1:49" ht="24.95" customHeight="1" thickTop="1" thickBot="1" x14ac:dyDescent="0.3">
      <c r="A237" s="1589" t="s">
        <v>820</v>
      </c>
      <c r="B237" s="1603" t="s">
        <v>128</v>
      </c>
      <c r="C237" s="1606"/>
      <c r="D237" s="1603" t="s">
        <v>303</v>
      </c>
      <c r="E237" s="1604"/>
      <c r="F237" s="1544" t="s">
        <v>129</v>
      </c>
      <c r="G237" s="1541"/>
      <c r="H237" s="1542" t="s">
        <v>303</v>
      </c>
      <c r="I237" s="1543"/>
      <c r="J237" s="1544" t="s">
        <v>130</v>
      </c>
      <c r="K237" s="1541"/>
      <c r="L237" s="1542" t="s">
        <v>303</v>
      </c>
      <c r="M237" s="1543"/>
      <c r="N237" s="1544" t="s">
        <v>131</v>
      </c>
      <c r="O237" s="1541"/>
      <c r="P237" s="1542" t="s">
        <v>303</v>
      </c>
      <c r="Q237" s="1543"/>
      <c r="R237" s="1544" t="s">
        <v>132</v>
      </c>
      <c r="S237" s="1541"/>
      <c r="T237" s="1542" t="s">
        <v>303</v>
      </c>
      <c r="U237" s="1543"/>
      <c r="V237" s="1544" t="s">
        <v>133</v>
      </c>
      <c r="W237" s="1541"/>
      <c r="X237" s="1542" t="s">
        <v>303</v>
      </c>
      <c r="Y237" s="1543"/>
      <c r="Z237" s="1544" t="s">
        <v>134</v>
      </c>
      <c r="AA237" s="1541"/>
      <c r="AB237" s="1542" t="s">
        <v>303</v>
      </c>
      <c r="AC237" s="1543"/>
      <c r="AD237" s="1544" t="s">
        <v>135</v>
      </c>
      <c r="AE237" s="1541"/>
      <c r="AF237" s="1542" t="s">
        <v>303</v>
      </c>
      <c r="AG237" s="1543"/>
      <c r="AH237" s="1544" t="s">
        <v>136</v>
      </c>
      <c r="AI237" s="1541"/>
      <c r="AJ237" s="1542" t="s">
        <v>303</v>
      </c>
      <c r="AK237" s="1543"/>
      <c r="AL237" s="1544" t="s">
        <v>137</v>
      </c>
      <c r="AM237" s="1541"/>
      <c r="AN237" s="1542" t="s">
        <v>303</v>
      </c>
      <c r="AO237" s="1543"/>
      <c r="AP237" s="1544" t="s">
        <v>138</v>
      </c>
      <c r="AQ237" s="1541"/>
      <c r="AR237" s="1542" t="s">
        <v>303</v>
      </c>
      <c r="AS237" s="1543"/>
      <c r="AT237" s="1544" t="s">
        <v>139</v>
      </c>
      <c r="AU237" s="1541"/>
      <c r="AV237" s="1542" t="s">
        <v>303</v>
      </c>
      <c r="AW237" s="1543"/>
    </row>
    <row r="238" spans="1:49" ht="24.95" customHeight="1" thickTop="1" thickBot="1" x14ac:dyDescent="0.3">
      <c r="A238" s="1590"/>
      <c r="B238" s="451" t="s">
        <v>682</v>
      </c>
      <c r="C238" s="451" t="s">
        <v>683</v>
      </c>
      <c r="D238" s="451" t="s">
        <v>682</v>
      </c>
      <c r="E238" s="914" t="s">
        <v>683</v>
      </c>
      <c r="F238" s="895" t="s">
        <v>682</v>
      </c>
      <c r="G238" s="451" t="s">
        <v>683</v>
      </c>
      <c r="H238" s="451" t="s">
        <v>682</v>
      </c>
      <c r="I238" s="914" t="s">
        <v>683</v>
      </c>
      <c r="J238" s="895" t="s">
        <v>682</v>
      </c>
      <c r="K238" s="451" t="s">
        <v>683</v>
      </c>
      <c r="L238" s="451" t="s">
        <v>682</v>
      </c>
      <c r="M238" s="914" t="s">
        <v>683</v>
      </c>
      <c r="N238" s="937" t="s">
        <v>684</v>
      </c>
      <c r="O238" s="451" t="s">
        <v>683</v>
      </c>
      <c r="P238" s="451" t="s">
        <v>682</v>
      </c>
      <c r="Q238" s="914" t="s">
        <v>683</v>
      </c>
      <c r="R238" s="937" t="s">
        <v>682</v>
      </c>
      <c r="S238" s="451" t="s">
        <v>683</v>
      </c>
      <c r="T238" s="451" t="s">
        <v>682</v>
      </c>
      <c r="U238" s="914" t="s">
        <v>683</v>
      </c>
      <c r="V238" s="937" t="s">
        <v>682</v>
      </c>
      <c r="W238" s="451" t="s">
        <v>683</v>
      </c>
      <c r="X238" s="451" t="s">
        <v>682</v>
      </c>
      <c r="Y238" s="914" t="s">
        <v>683</v>
      </c>
      <c r="Z238" s="968" t="s">
        <v>682</v>
      </c>
      <c r="AA238" s="451" t="s">
        <v>683</v>
      </c>
      <c r="AB238" s="451" t="s">
        <v>682</v>
      </c>
      <c r="AC238" s="914" t="s">
        <v>683</v>
      </c>
      <c r="AD238" s="968" t="s">
        <v>682</v>
      </c>
      <c r="AE238" s="451" t="s">
        <v>683</v>
      </c>
      <c r="AF238" s="451" t="s">
        <v>682</v>
      </c>
      <c r="AG238" s="914" t="s">
        <v>683</v>
      </c>
      <c r="AH238" s="968" t="s">
        <v>682</v>
      </c>
      <c r="AI238" s="451" t="s">
        <v>683</v>
      </c>
      <c r="AJ238" s="451" t="s">
        <v>682</v>
      </c>
      <c r="AK238" s="914" t="s">
        <v>683</v>
      </c>
      <c r="AL238" s="968" t="s">
        <v>684</v>
      </c>
      <c r="AM238" s="451" t="s">
        <v>683</v>
      </c>
      <c r="AN238" s="451" t="s">
        <v>682</v>
      </c>
      <c r="AO238" s="914" t="s">
        <v>683</v>
      </c>
      <c r="AP238" s="968" t="s">
        <v>682</v>
      </c>
      <c r="AQ238" s="451" t="s">
        <v>683</v>
      </c>
      <c r="AR238" s="451" t="s">
        <v>682</v>
      </c>
      <c r="AS238" s="914" t="s">
        <v>683</v>
      </c>
      <c r="AT238" s="968" t="s">
        <v>684</v>
      </c>
      <c r="AU238" s="451" t="s">
        <v>683</v>
      </c>
      <c r="AV238" s="451" t="s">
        <v>682</v>
      </c>
      <c r="AW238" s="914" t="s">
        <v>683</v>
      </c>
    </row>
    <row r="239" spans="1:49" ht="24.95" customHeight="1" thickTop="1" thickBot="1" x14ac:dyDescent="0.3">
      <c r="A239" s="440" t="s">
        <v>321</v>
      </c>
      <c r="B239" s="923">
        <f>C12</f>
        <v>50315.11</v>
      </c>
      <c r="C239" s="924">
        <f>D12</f>
        <v>13566.29</v>
      </c>
      <c r="D239" s="920">
        <f t="shared" ref="D239:D244" si="41">$B239/$B$243</f>
        <v>0.21100000616454995</v>
      </c>
      <c r="E239" s="921">
        <f>$C239/$C$243</f>
        <v>0.13499996915148474</v>
      </c>
      <c r="F239" s="770">
        <f>E12</f>
        <v>45400.91</v>
      </c>
      <c r="G239" s="771">
        <f>F12</f>
        <v>19011.97</v>
      </c>
      <c r="H239" s="920">
        <f>$F239/$F$243</f>
        <v>0.21100000938791799</v>
      </c>
      <c r="I239" s="921">
        <f>$G239/$G$243</f>
        <v>0.13499999751472366</v>
      </c>
      <c r="J239" s="770">
        <f>G12</f>
        <v>46699.73</v>
      </c>
      <c r="K239" s="771">
        <f>H12</f>
        <v>14443.8</v>
      </c>
      <c r="L239" s="920">
        <f>$J239/$J$243</f>
        <v>0.18684851707037117</v>
      </c>
      <c r="M239" s="921">
        <f>$K239/$K$243</f>
        <v>0.1842717001621649</v>
      </c>
      <c r="N239" s="770">
        <f>I12</f>
        <v>45909.24</v>
      </c>
      <c r="O239" s="771">
        <f>J12</f>
        <v>15548.9</v>
      </c>
      <c r="P239" s="920">
        <f t="shared" ref="P239:P244" si="42">$N239/$N$243</f>
        <v>0.21459931480403591</v>
      </c>
      <c r="Q239" s="921">
        <f t="shared" ref="Q239:Q244" si="43">$O239/$O$243</f>
        <v>0.13500001996926123</v>
      </c>
      <c r="R239" s="770">
        <f>K12</f>
        <v>53397.91</v>
      </c>
      <c r="S239" s="771">
        <f>L12</f>
        <v>17763.099999999999</v>
      </c>
      <c r="T239" s="920">
        <f t="shared" ref="T239:T244" si="44">$R239/$R$243</f>
        <v>0.21442387050315168</v>
      </c>
      <c r="U239" s="921">
        <f t="shared" ref="U239:U244" si="45">$S239/$S$243</f>
        <v>0.13500002926010171</v>
      </c>
      <c r="V239" s="770">
        <f>M12</f>
        <v>59690.32</v>
      </c>
      <c r="W239" s="771">
        <f>N12</f>
        <v>17763.099999999999</v>
      </c>
      <c r="X239" s="920">
        <f t="shared" ref="X239:X244" si="46">$V239/$V$243</f>
        <v>0.198882551936339</v>
      </c>
      <c r="Y239" s="921">
        <f t="shared" ref="Y239:Y244" si="47">$W239/$W$243</f>
        <v>0.12088763678897076</v>
      </c>
      <c r="Z239" s="978">
        <f>O12</f>
        <v>81644.399999999994</v>
      </c>
      <c r="AA239" s="770">
        <f>P12</f>
        <v>27726.47</v>
      </c>
      <c r="AB239" s="920">
        <f t="shared" ref="AB239:AB244" si="48">$Z239/$Z$243</f>
        <v>0.24793188909150279</v>
      </c>
      <c r="AC239" s="921">
        <f>$AA239/$AA$243</f>
        <v>2.3661816838812154E-2</v>
      </c>
      <c r="AD239" s="976">
        <f>Q12</f>
        <v>26198.1</v>
      </c>
      <c r="AE239" s="770">
        <f>R12</f>
        <v>11631.99</v>
      </c>
      <c r="AF239" s="920">
        <f t="shared" ref="AF239:AF244" si="49">$AD239/$AD$243</f>
        <v>0.43377073951187978</v>
      </c>
      <c r="AG239" s="982">
        <f>$AE239/$AE$243</f>
        <v>0.76205534995155255</v>
      </c>
      <c r="AH239" s="984">
        <f>S12</f>
        <v>55140.66</v>
      </c>
      <c r="AI239" s="770">
        <f>T12</f>
        <v>13494.81</v>
      </c>
      <c r="AJ239" s="920">
        <f t="shared" ref="AJ239:AJ244" si="50">$AH239/$AH$243</f>
        <v>0.19300212222789406</v>
      </c>
      <c r="AK239" s="921">
        <f>$AI239/$AI$243</f>
        <v>8.2737846454665545E-2</v>
      </c>
      <c r="AL239" s="984">
        <f>U12</f>
        <v>50351.5</v>
      </c>
      <c r="AM239" s="770">
        <f>V12</f>
        <v>15780.37</v>
      </c>
      <c r="AN239" s="920">
        <f t="shared" ref="AN239:AN244" si="51">$AL239/$AL$243</f>
        <v>0.18397304537202827</v>
      </c>
      <c r="AO239" s="921">
        <f>$AM239/$AM$243</f>
        <v>9.3516883668554068E-2</v>
      </c>
      <c r="AP239" s="984">
        <f>W12</f>
        <v>46507.53</v>
      </c>
      <c r="AQ239" s="770">
        <f>X12</f>
        <v>12003.59</v>
      </c>
      <c r="AR239" s="920">
        <f t="shared" ref="AR239:AR244" si="52">$AP239/$AP$243</f>
        <v>0.18673867375414577</v>
      </c>
      <c r="AS239" s="921">
        <f>$AQ239/$AQ$243</f>
        <v>7.7641513833552611E-2</v>
      </c>
      <c r="AT239" s="984">
        <f>Y12</f>
        <v>69678</v>
      </c>
      <c r="AU239" s="770">
        <f>Z12</f>
        <v>-49007.18</v>
      </c>
      <c r="AV239" s="920">
        <f t="shared" ref="AV239:AV244" si="53">$AT239/$AT$243</f>
        <v>0.61529266933860405</v>
      </c>
      <c r="AW239" s="982">
        <f>$AU239/$AU$243</f>
        <v>-0.99927614070030435</v>
      </c>
    </row>
    <row r="240" spans="1:49" ht="24.95" customHeight="1" thickTop="1" thickBot="1" x14ac:dyDescent="0.3">
      <c r="A240" s="440" t="s">
        <v>322</v>
      </c>
      <c r="B240" s="923">
        <f>C16</f>
        <v>8281.24</v>
      </c>
      <c r="C240" s="924">
        <f>D16</f>
        <v>1047.0899999999999</v>
      </c>
      <c r="D240" s="920">
        <f t="shared" si="41"/>
        <v>3.4727971200900036E-2</v>
      </c>
      <c r="E240" s="921">
        <f t="shared" ref="E240:E244" si="54">$C240/$C$243</f>
        <v>1.0419732859818575E-2</v>
      </c>
      <c r="F240" s="910">
        <f>E16</f>
        <v>22217.47</v>
      </c>
      <c r="G240" s="556">
        <f>F16</f>
        <v>251.98</v>
      </c>
      <c r="H240" s="920">
        <f t="shared" ref="H240:H244" si="55">$F240/$F$243</f>
        <v>0.10325533956424632</v>
      </c>
      <c r="I240" s="921">
        <f t="shared" ref="I240:I244" si="56">$G240/$G$243</f>
        <v>1.7892569456905343E-3</v>
      </c>
      <c r="J240" s="910">
        <f>G16</f>
        <v>3278.62</v>
      </c>
      <c r="K240" s="556">
        <f>H16</f>
        <v>472.46</v>
      </c>
      <c r="L240" s="920">
        <f t="shared" ref="L240:L244" si="57">$J240/$J$243</f>
        <v>1.3117962031841731E-2</v>
      </c>
      <c r="M240" s="921">
        <f t="shared" ref="M240:M244" si="58">$K240/$K$243</f>
        <v>6.0275694386945564E-3</v>
      </c>
      <c r="N240" s="910">
        <f>I16</f>
        <v>21275.08</v>
      </c>
      <c r="O240" s="556">
        <f>J16</f>
        <v>6401.57</v>
      </c>
      <c r="P240" s="920">
        <f t="shared" si="42"/>
        <v>9.9448773066185561E-2</v>
      </c>
      <c r="Q240" s="921">
        <f t="shared" si="43"/>
        <v>5.5580271133946681E-2</v>
      </c>
      <c r="R240" s="910">
        <f>K16</f>
        <v>20017.75</v>
      </c>
      <c r="S240" s="556">
        <f>L16</f>
        <v>581.09</v>
      </c>
      <c r="T240" s="920">
        <f t="shared" si="44"/>
        <v>8.038298565926015E-2</v>
      </c>
      <c r="U240" s="921">
        <f t="shared" si="45"/>
        <v>4.4162993510565452E-3</v>
      </c>
      <c r="V240" s="910">
        <f>M16</f>
        <v>13641.32</v>
      </c>
      <c r="W240" s="556">
        <f>N16</f>
        <v>1980.03</v>
      </c>
      <c r="X240" s="920">
        <f t="shared" si="46"/>
        <v>4.5451599746495243E-2</v>
      </c>
      <c r="Y240" s="921">
        <f t="shared" si="47"/>
        <v>1.3475189999001626E-2</v>
      </c>
      <c r="Z240" s="979">
        <f>O16</f>
        <v>20091.28</v>
      </c>
      <c r="AA240" s="910">
        <f>P16</f>
        <v>2232.96</v>
      </c>
      <c r="AB240" s="920">
        <f t="shared" si="48"/>
        <v>6.1011765714076266E-2</v>
      </c>
      <c r="AC240" s="921">
        <f t="shared" ref="AC240:AC244" si="59">$AA240/$AA$243</f>
        <v>1.9056118766072273E-3</v>
      </c>
      <c r="AD240" s="976">
        <f>Q16</f>
        <v>5012.5600000000004</v>
      </c>
      <c r="AE240" s="910">
        <f>R16</f>
        <v>541.41999999999996</v>
      </c>
      <c r="AF240" s="920">
        <f t="shared" si="49"/>
        <v>8.2994639231381978E-2</v>
      </c>
      <c r="AG240" s="982">
        <f t="shared" ref="AG240:AG244" si="60">$AE240/$AE$243</f>
        <v>3.5470457554620458E-2</v>
      </c>
      <c r="AH240" s="985">
        <f>S16</f>
        <v>12499.02</v>
      </c>
      <c r="AI240" s="910">
        <f>T16</f>
        <v>1602.99</v>
      </c>
      <c r="AJ240" s="920">
        <f t="shared" si="50"/>
        <v>4.3748794188696552E-2</v>
      </c>
      <c r="AK240" s="921">
        <f t="shared" ref="AK240:AK244" si="61">$AI240/$AI$243</f>
        <v>9.8280702350284528E-3</v>
      </c>
      <c r="AL240" s="985">
        <f>U16</f>
        <v>6053.65</v>
      </c>
      <c r="AM240" s="910">
        <f>V16</f>
        <v>601.98</v>
      </c>
      <c r="AN240" s="920">
        <f t="shared" si="51"/>
        <v>2.2118674242403481E-2</v>
      </c>
      <c r="AO240" s="921">
        <f t="shared" ref="AO240:AO244" si="62">$AM240/$AM$243</f>
        <v>3.5674254552203895E-3</v>
      </c>
      <c r="AP240" s="985">
        <f>W16</f>
        <v>10161.459999999999</v>
      </c>
      <c r="AQ240" s="910">
        <f>X16</f>
        <v>120.15</v>
      </c>
      <c r="AR240" s="920">
        <f t="shared" si="52"/>
        <v>4.0800652363301208E-2</v>
      </c>
      <c r="AS240" s="921">
        <f t="shared" ref="AS240:AS244" si="63">$AQ240/$AQ$243</f>
        <v>7.7715315893839645E-4</v>
      </c>
      <c r="AT240" s="985">
        <f>Y16</f>
        <v>5364.2</v>
      </c>
      <c r="AU240" s="910">
        <f>Z16</f>
        <v>47.99</v>
      </c>
      <c r="AV240" s="920">
        <f t="shared" si="53"/>
        <v>4.7368652040330375E-2</v>
      </c>
      <c r="AW240" s="982">
        <f t="shared" ref="AW240:AW244" si="64">$AU240/$AU$243</f>
        <v>9.7853543077172775E-4</v>
      </c>
    </row>
    <row r="241" spans="1:49" ht="24.95" customHeight="1" thickTop="1" thickBot="1" x14ac:dyDescent="0.3">
      <c r="A241" s="440" t="s">
        <v>323</v>
      </c>
      <c r="B241" s="923">
        <f>C17</f>
        <v>466.87</v>
      </c>
      <c r="C241" s="924">
        <f>D17</f>
        <v>0</v>
      </c>
      <c r="D241" s="920">
        <f t="shared" si="41"/>
        <v>1.9578526784109871E-3</v>
      </c>
      <c r="E241" s="921">
        <f t="shared" si="54"/>
        <v>0</v>
      </c>
      <c r="F241" s="910">
        <f>E17</f>
        <v>10.32</v>
      </c>
      <c r="G241" s="556">
        <f>F17</f>
        <v>10.31</v>
      </c>
      <c r="H241" s="920">
        <f t="shared" si="55"/>
        <v>4.7962036375114806E-5</v>
      </c>
      <c r="I241" s="921">
        <f t="shared" si="56"/>
        <v>7.3209140051073139E-5</v>
      </c>
      <c r="J241" s="910">
        <f>G17</f>
        <v>64.63</v>
      </c>
      <c r="K241" s="556">
        <f>H17</f>
        <v>0</v>
      </c>
      <c r="L241" s="920">
        <f t="shared" si="57"/>
        <v>2.5858863976854015E-4</v>
      </c>
      <c r="M241" s="921">
        <f t="shared" si="58"/>
        <v>0</v>
      </c>
      <c r="N241" s="910">
        <f>I17</f>
        <v>123.65</v>
      </c>
      <c r="O241" s="556">
        <f>J17</f>
        <v>0</v>
      </c>
      <c r="P241" s="920">
        <f t="shared" si="42"/>
        <v>5.7799269331226225E-4</v>
      </c>
      <c r="Q241" s="921">
        <f t="shared" si="43"/>
        <v>0</v>
      </c>
      <c r="R241" s="910">
        <f>K17</f>
        <v>28.27</v>
      </c>
      <c r="S241" s="556">
        <f>L17</f>
        <v>0</v>
      </c>
      <c r="T241" s="920">
        <f t="shared" si="44"/>
        <v>1.135206006962463E-4</v>
      </c>
      <c r="U241" s="921">
        <f t="shared" si="45"/>
        <v>0</v>
      </c>
      <c r="V241" s="910">
        <f>M17</f>
        <v>240.69</v>
      </c>
      <c r="W241" s="556">
        <f>N17</f>
        <v>0</v>
      </c>
      <c r="X241" s="920">
        <f t="shared" si="46"/>
        <v>8.0195652202161814E-4</v>
      </c>
      <c r="Y241" s="921">
        <f t="shared" si="47"/>
        <v>0</v>
      </c>
      <c r="Z241" s="979">
        <f>O17</f>
        <v>49.13</v>
      </c>
      <c r="AA241" s="910">
        <f>P17</f>
        <v>0</v>
      </c>
      <c r="AB241" s="920">
        <f t="shared" si="48"/>
        <v>1.4919447887504268E-4</v>
      </c>
      <c r="AC241" s="921">
        <f t="shared" si="59"/>
        <v>0</v>
      </c>
      <c r="AD241" s="976">
        <f>Q17</f>
        <v>63.81</v>
      </c>
      <c r="AE241" s="910">
        <f>R17</f>
        <v>0</v>
      </c>
      <c r="AF241" s="920">
        <f t="shared" si="49"/>
        <v>1.0565235985912356E-3</v>
      </c>
      <c r="AG241" s="982">
        <f t="shared" si="60"/>
        <v>0</v>
      </c>
      <c r="AH241" s="985">
        <f>S17</f>
        <v>51.36</v>
      </c>
      <c r="AI241" s="910">
        <f>T17</f>
        <v>0</v>
      </c>
      <c r="AJ241" s="920">
        <f t="shared" si="50"/>
        <v>1.797691394630503E-4</v>
      </c>
      <c r="AK241" s="921">
        <f t="shared" si="61"/>
        <v>0</v>
      </c>
      <c r="AL241" s="985">
        <f>U17</f>
        <v>70.48</v>
      </c>
      <c r="AM241" s="910">
        <f>V17</f>
        <v>0</v>
      </c>
      <c r="AN241" s="920">
        <f t="shared" si="51"/>
        <v>2.5751805284491137E-4</v>
      </c>
      <c r="AO241" s="921">
        <f t="shared" si="62"/>
        <v>0</v>
      </c>
      <c r="AP241" s="985">
        <f>W17</f>
        <v>34.54</v>
      </c>
      <c r="AQ241" s="910">
        <f>X17</f>
        <v>0</v>
      </c>
      <c r="AR241" s="920">
        <f t="shared" si="52"/>
        <v>1.3868622546646091E-4</v>
      </c>
      <c r="AS241" s="921">
        <f t="shared" si="63"/>
        <v>0</v>
      </c>
      <c r="AT241" s="985">
        <f>Y17</f>
        <v>67</v>
      </c>
      <c r="AU241" s="910">
        <f>Z17</f>
        <v>0</v>
      </c>
      <c r="AV241" s="920">
        <f t="shared" si="53"/>
        <v>5.9164454843259676E-4</v>
      </c>
      <c r="AW241" s="982">
        <f t="shared" si="64"/>
        <v>0</v>
      </c>
    </row>
    <row r="242" spans="1:49" ht="24.95" customHeight="1" thickTop="1" thickBot="1" x14ac:dyDescent="0.3">
      <c r="A242" s="440" t="s">
        <v>324</v>
      </c>
      <c r="B242" s="925">
        <f>SUM(B239:B241)</f>
        <v>59063.22</v>
      </c>
      <c r="C242" s="926">
        <f>SUM(C239:C241)</f>
        <v>14613.380000000001</v>
      </c>
      <c r="D242" s="920">
        <f t="shared" si="41"/>
        <v>0.24768583004386097</v>
      </c>
      <c r="E242" s="921">
        <f t="shared" si="54"/>
        <v>0.1454197020113033</v>
      </c>
      <c r="F242" s="911">
        <f>SUM(F239:F241)</f>
        <v>67628.700000000012</v>
      </c>
      <c r="G242" s="557">
        <f>SUM(G239:G241)</f>
        <v>19274.260000000002</v>
      </c>
      <c r="H242" s="920">
        <f t="shared" si="55"/>
        <v>0.31430331098853947</v>
      </c>
      <c r="I242" s="921">
        <f t="shared" si="56"/>
        <v>0.13686246360046528</v>
      </c>
      <c r="J242" s="911">
        <f>SUM(J239:J241)</f>
        <v>50042.98</v>
      </c>
      <c r="K242" s="557">
        <f>SUM(K239:K241)</f>
        <v>14916.259999999998</v>
      </c>
      <c r="L242" s="920">
        <f t="shared" si="57"/>
        <v>0.20022506774198143</v>
      </c>
      <c r="M242" s="921">
        <f t="shared" si="58"/>
        <v>0.19029926960085947</v>
      </c>
      <c r="N242" s="911">
        <f>SUM(N239:N241)</f>
        <v>67307.97</v>
      </c>
      <c r="O242" s="557">
        <f>SUM(O239:O241)</f>
        <v>21950.47</v>
      </c>
      <c r="P242" s="920">
        <f t="shared" si="42"/>
        <v>0.31462608056353375</v>
      </c>
      <c r="Q242" s="921">
        <f t="shared" si="43"/>
        <v>0.19058029110320793</v>
      </c>
      <c r="R242" s="911">
        <f>SUM(R239:R241)</f>
        <v>73443.930000000008</v>
      </c>
      <c r="S242" s="557">
        <f>SUM(S239:S241)</f>
        <v>18344.189999999999</v>
      </c>
      <c r="T242" s="920">
        <f t="shared" si="44"/>
        <v>0.29492037676310806</v>
      </c>
      <c r="U242" s="921">
        <f t="shared" si="45"/>
        <v>0.13941632861115824</v>
      </c>
      <c r="V242" s="911">
        <f>SUM(V239:V241)</f>
        <v>73572.33</v>
      </c>
      <c r="W242" s="557">
        <f>SUM(W239:W241)</f>
        <v>19743.129999999997</v>
      </c>
      <c r="X242" s="920">
        <f t="shared" si="46"/>
        <v>0.24513610820485587</v>
      </c>
      <c r="Y242" s="921">
        <f t="shared" si="47"/>
        <v>0.13436282678797237</v>
      </c>
      <c r="Z242" s="980">
        <f>SUM(Z239:Z241)</f>
        <v>101784.81</v>
      </c>
      <c r="AA242" s="911">
        <f>SUM(AA239:AA241)</f>
        <v>29959.43</v>
      </c>
      <c r="AB242" s="920">
        <f t="shared" si="48"/>
        <v>0.30909284928445413</v>
      </c>
      <c r="AC242" s="921">
        <f t="shared" si="59"/>
        <v>2.5567428715419383E-2</v>
      </c>
      <c r="AD242" s="977">
        <f>SUM(AD239:AD241)</f>
        <v>31274.47</v>
      </c>
      <c r="AE242" s="911">
        <f>SUM(AE239:AE241)</f>
        <v>12173.41</v>
      </c>
      <c r="AF242" s="920">
        <f t="shared" si="49"/>
        <v>0.51782190234185299</v>
      </c>
      <c r="AG242" s="982">
        <f t="shared" si="60"/>
        <v>0.79752580750617308</v>
      </c>
      <c r="AH242" s="986">
        <f>SUM(AH239:AH241)</f>
        <v>67691.040000000008</v>
      </c>
      <c r="AI242" s="911">
        <f>SUM(AI239:AI241)</f>
        <v>15097.8</v>
      </c>
      <c r="AJ242" s="920">
        <f t="shared" si="50"/>
        <v>0.23693068555605368</v>
      </c>
      <c r="AK242" s="921">
        <f t="shared" si="61"/>
        <v>9.2565916689693994E-2</v>
      </c>
      <c r="AL242" s="986">
        <f>SUM(AL239:AL241)</f>
        <v>56475.630000000005</v>
      </c>
      <c r="AM242" s="911">
        <f>SUM(AM239:AM241)</f>
        <v>16382.35</v>
      </c>
      <c r="AN242" s="920">
        <f t="shared" si="51"/>
        <v>0.2063492376672767</v>
      </c>
      <c r="AO242" s="921">
        <f t="shared" si="62"/>
        <v>9.7084309123774457E-2</v>
      </c>
      <c r="AP242" s="986">
        <f>SUM(AP239:AP241)</f>
        <v>56703.53</v>
      </c>
      <c r="AQ242" s="911">
        <f>SUM(AQ239:AQ241)</f>
        <v>12123.74</v>
      </c>
      <c r="AR242" s="920">
        <f t="shared" si="52"/>
        <v>0.22767801234291346</v>
      </c>
      <c r="AS242" s="921">
        <f t="shared" si="63"/>
        <v>7.8418666992491004E-2</v>
      </c>
      <c r="AT242" s="986">
        <f>SUM(AT239:AT241)</f>
        <v>75109.2</v>
      </c>
      <c r="AU242" s="911">
        <f>SUM(AU239:AU241)</f>
        <v>-48959.19</v>
      </c>
      <c r="AV242" s="920">
        <f t="shared" si="53"/>
        <v>0.66325296592736704</v>
      </c>
      <c r="AW242" s="982">
        <f t="shared" si="64"/>
        <v>-0.9982976052695326</v>
      </c>
    </row>
    <row r="243" spans="1:49" ht="24.95" customHeight="1" thickTop="1" thickBot="1" x14ac:dyDescent="0.3">
      <c r="A243" s="439" t="s">
        <v>63</v>
      </c>
      <c r="B243" s="923">
        <f>C3</f>
        <v>238460.23</v>
      </c>
      <c r="C243" s="924">
        <f>D3</f>
        <v>100491.06</v>
      </c>
      <c r="D243" s="920">
        <f t="shared" si="41"/>
        <v>1</v>
      </c>
      <c r="E243" s="921">
        <f t="shared" si="54"/>
        <v>1</v>
      </c>
      <c r="F243" s="910">
        <f>E3</f>
        <v>215170.18</v>
      </c>
      <c r="G243" s="556">
        <f>F3</f>
        <v>140829.41</v>
      </c>
      <c r="H243" s="920">
        <f t="shared" si="55"/>
        <v>1</v>
      </c>
      <c r="I243" s="921">
        <f t="shared" si="56"/>
        <v>1</v>
      </c>
      <c r="J243" s="910">
        <f>G3</f>
        <v>249933.64</v>
      </c>
      <c r="K243" s="556">
        <f>H3</f>
        <v>78383.17</v>
      </c>
      <c r="L243" s="920">
        <f t="shared" si="57"/>
        <v>1</v>
      </c>
      <c r="M243" s="921">
        <f t="shared" si="58"/>
        <v>1</v>
      </c>
      <c r="N243" s="910">
        <f>I3</f>
        <v>213930.04</v>
      </c>
      <c r="O243" s="556">
        <f>J3</f>
        <v>115177.02</v>
      </c>
      <c r="P243" s="920">
        <f t="shared" si="42"/>
        <v>1</v>
      </c>
      <c r="Q243" s="921">
        <f t="shared" si="43"/>
        <v>1</v>
      </c>
      <c r="R243" s="910">
        <f>K3</f>
        <v>249029.69</v>
      </c>
      <c r="S243" s="556">
        <f>L3</f>
        <v>131578.49</v>
      </c>
      <c r="T243" s="920">
        <f t="shared" si="44"/>
        <v>1</v>
      </c>
      <c r="U243" s="921">
        <f t="shared" si="45"/>
        <v>1</v>
      </c>
      <c r="V243" s="910">
        <f>M3</f>
        <v>300128.49</v>
      </c>
      <c r="W243" s="556">
        <f>N3</f>
        <v>146938.93</v>
      </c>
      <c r="X243" s="920">
        <f t="shared" si="46"/>
        <v>1</v>
      </c>
      <c r="Y243" s="921">
        <f t="shared" si="47"/>
        <v>1</v>
      </c>
      <c r="Z243" s="979">
        <f>O3</f>
        <v>329301.73</v>
      </c>
      <c r="AA243" s="910">
        <f>P3</f>
        <v>1171781.1100000001</v>
      </c>
      <c r="AB243" s="920">
        <f t="shared" si="48"/>
        <v>1</v>
      </c>
      <c r="AC243" s="921">
        <f t="shared" si="59"/>
        <v>1</v>
      </c>
      <c r="AD243" s="976">
        <f>Q3</f>
        <v>60396.19</v>
      </c>
      <c r="AE243" s="910">
        <f>R3</f>
        <v>15263.97</v>
      </c>
      <c r="AF243" s="920">
        <f t="shared" si="49"/>
        <v>1</v>
      </c>
      <c r="AG243" s="982">
        <f t="shared" si="60"/>
        <v>1</v>
      </c>
      <c r="AH243" s="985">
        <f>S3</f>
        <v>285699.76</v>
      </c>
      <c r="AI243" s="910">
        <f>T3</f>
        <v>163103.23000000001</v>
      </c>
      <c r="AJ243" s="920">
        <f t="shared" si="50"/>
        <v>1</v>
      </c>
      <c r="AK243" s="921">
        <f t="shared" si="61"/>
        <v>1</v>
      </c>
      <c r="AL243" s="985">
        <f>U3</f>
        <v>273689.55</v>
      </c>
      <c r="AM243" s="910">
        <f>V3</f>
        <v>168743.54</v>
      </c>
      <c r="AN243" s="920">
        <f t="shared" si="51"/>
        <v>1</v>
      </c>
      <c r="AO243" s="921">
        <f t="shared" si="62"/>
        <v>1</v>
      </c>
      <c r="AP243" s="985">
        <f>W3</f>
        <v>249051.41</v>
      </c>
      <c r="AQ243" s="910">
        <f>X3</f>
        <v>154602.73000000001</v>
      </c>
      <c r="AR243" s="920">
        <f t="shared" si="52"/>
        <v>1</v>
      </c>
      <c r="AS243" s="921">
        <f t="shared" si="63"/>
        <v>1</v>
      </c>
      <c r="AT243" s="985">
        <f>Y3</f>
        <v>113243.67</v>
      </c>
      <c r="AU243" s="910">
        <f>Z3</f>
        <v>49042.68</v>
      </c>
      <c r="AV243" s="920">
        <f t="shared" si="53"/>
        <v>1</v>
      </c>
      <c r="AW243" s="982">
        <f t="shared" si="64"/>
        <v>1</v>
      </c>
    </row>
    <row r="244" spans="1:49" ht="24.95" customHeight="1" thickTop="1" thickBot="1" x14ac:dyDescent="0.3">
      <c r="A244" s="441" t="s">
        <v>302</v>
      </c>
      <c r="B244" s="925">
        <f>B243-B242</f>
        <v>179397.01</v>
      </c>
      <c r="C244" s="926">
        <f>C243-C242</f>
        <v>85877.68</v>
      </c>
      <c r="D244" s="922">
        <f t="shared" si="41"/>
        <v>0.75231416995613898</v>
      </c>
      <c r="E244" s="917">
        <f t="shared" si="54"/>
        <v>0.85458029798869661</v>
      </c>
      <c r="F244" s="912">
        <f>F243-F242</f>
        <v>147541.47999999998</v>
      </c>
      <c r="G244" s="558">
        <f>G243-G242</f>
        <v>121555.15</v>
      </c>
      <c r="H244" s="920">
        <f t="shared" si="55"/>
        <v>0.68569668901146053</v>
      </c>
      <c r="I244" s="921">
        <f t="shared" si="56"/>
        <v>0.86313753639953461</v>
      </c>
      <c r="J244" s="912">
        <f>J243-J242</f>
        <v>199890.66</v>
      </c>
      <c r="K244" s="558">
        <f>K243-K242</f>
        <v>63466.91</v>
      </c>
      <c r="L244" s="920">
        <f t="shared" si="57"/>
        <v>0.79977493225801854</v>
      </c>
      <c r="M244" s="921">
        <f t="shared" si="58"/>
        <v>0.80970073039914059</v>
      </c>
      <c r="N244" s="912">
        <f>N243-N242</f>
        <v>146622.07</v>
      </c>
      <c r="O244" s="558">
        <f>O243-O242</f>
        <v>93226.55</v>
      </c>
      <c r="P244" s="920">
        <f t="shared" si="42"/>
        <v>0.68537391943646619</v>
      </c>
      <c r="Q244" s="921">
        <f t="shared" si="43"/>
        <v>0.80941970889679205</v>
      </c>
      <c r="R244" s="912">
        <f>R243-R242</f>
        <v>175585.76</v>
      </c>
      <c r="S244" s="558">
        <f>S243-S242</f>
        <v>113234.29999999999</v>
      </c>
      <c r="T244" s="920">
        <f t="shared" si="44"/>
        <v>0.70507962323689199</v>
      </c>
      <c r="U244" s="921">
        <f t="shared" si="45"/>
        <v>0.86058367138884173</v>
      </c>
      <c r="V244" s="912">
        <f>V243-V242</f>
        <v>226556.15999999997</v>
      </c>
      <c r="W244" s="558">
        <f>W243-W242</f>
        <v>127195.79999999999</v>
      </c>
      <c r="X244" s="920">
        <f t="shared" si="46"/>
        <v>0.75486389179514413</v>
      </c>
      <c r="Y244" s="921">
        <f t="shared" si="47"/>
        <v>0.8656371732120276</v>
      </c>
      <c r="Z244" s="981">
        <f>Z243-Z242</f>
        <v>227516.91999999998</v>
      </c>
      <c r="AA244" s="912">
        <f>AA243-AA242</f>
        <v>1141821.6800000002</v>
      </c>
      <c r="AB244" s="920">
        <f t="shared" si="48"/>
        <v>0.69090715071554587</v>
      </c>
      <c r="AC244" s="921">
        <f t="shared" si="59"/>
        <v>0.97443257128458072</v>
      </c>
      <c r="AD244" s="977">
        <f>AD243-AD242</f>
        <v>29121.72</v>
      </c>
      <c r="AE244" s="912">
        <f>AE243-AE242</f>
        <v>3090.5599999999995</v>
      </c>
      <c r="AF244" s="920">
        <f t="shared" si="49"/>
        <v>0.48217809765814695</v>
      </c>
      <c r="AG244" s="982">
        <f t="shared" si="60"/>
        <v>0.20247419249382695</v>
      </c>
      <c r="AH244" s="987">
        <f>AH243-AH242</f>
        <v>218008.72</v>
      </c>
      <c r="AI244" s="912">
        <f>AI243-AI242</f>
        <v>148005.43000000002</v>
      </c>
      <c r="AJ244" s="920">
        <f t="shared" si="50"/>
        <v>0.76306931444394632</v>
      </c>
      <c r="AK244" s="921">
        <f t="shared" si="61"/>
        <v>0.90743408331030606</v>
      </c>
      <c r="AL244" s="987">
        <f>AL243-AL242</f>
        <v>217213.91999999998</v>
      </c>
      <c r="AM244" s="912">
        <f>AM243-AM242</f>
        <v>152361.19</v>
      </c>
      <c r="AN244" s="920">
        <f t="shared" si="51"/>
        <v>0.79365076233272336</v>
      </c>
      <c r="AO244" s="921">
        <f t="shared" si="62"/>
        <v>0.90291569087622547</v>
      </c>
      <c r="AP244" s="987">
        <f>AP243-AP242</f>
        <v>192347.88</v>
      </c>
      <c r="AQ244" s="912">
        <f>AQ243-AQ242</f>
        <v>142478.99000000002</v>
      </c>
      <c r="AR244" s="920">
        <f t="shared" si="52"/>
        <v>0.77232198765708659</v>
      </c>
      <c r="AS244" s="921">
        <f t="shared" si="63"/>
        <v>0.92158133300750911</v>
      </c>
      <c r="AT244" s="987">
        <f>AT243-AT242</f>
        <v>38134.47</v>
      </c>
      <c r="AU244" s="912">
        <f>AU243-AU242</f>
        <v>98001.87</v>
      </c>
      <c r="AV244" s="920">
        <f t="shared" si="53"/>
        <v>0.33674703407263296</v>
      </c>
      <c r="AW244" s="982">
        <f t="shared" si="64"/>
        <v>1.9982976052695325</v>
      </c>
    </row>
    <row r="245" spans="1:49" ht="24.95" customHeight="1" thickTop="1" thickBot="1" x14ac:dyDescent="0.3">
      <c r="B245" s="455"/>
      <c r="C245" s="455"/>
      <c r="D245" s="915"/>
      <c r="E245" s="916"/>
      <c r="F245" s="915"/>
      <c r="G245" s="915"/>
      <c r="H245" s="915"/>
      <c r="I245" s="916"/>
      <c r="J245" s="915"/>
      <c r="K245" s="915"/>
      <c r="L245" s="915"/>
      <c r="M245" s="916"/>
      <c r="N245" s="915"/>
      <c r="O245" s="915"/>
      <c r="P245" s="915"/>
      <c r="Q245" s="916"/>
      <c r="R245" s="915"/>
      <c r="S245" s="915"/>
      <c r="T245" s="915"/>
      <c r="U245" s="916"/>
      <c r="V245" s="915"/>
      <c r="W245" s="915"/>
      <c r="X245" s="915"/>
      <c r="Y245" s="916"/>
      <c r="Z245" s="915"/>
      <c r="AA245" s="915"/>
      <c r="AB245" s="915"/>
      <c r="AC245" s="916"/>
      <c r="AD245" s="915"/>
      <c r="AE245" s="915"/>
      <c r="AF245" s="915"/>
      <c r="AG245" s="916"/>
      <c r="AH245" s="915"/>
      <c r="AI245" s="915"/>
      <c r="AJ245" s="915"/>
      <c r="AK245" s="916"/>
      <c r="AL245" s="915"/>
      <c r="AM245" s="915"/>
      <c r="AN245" s="915"/>
      <c r="AO245" s="916"/>
      <c r="AP245" s="915"/>
      <c r="AQ245" s="915"/>
      <c r="AR245" s="915"/>
      <c r="AS245" s="916"/>
      <c r="AT245" s="915"/>
      <c r="AU245" s="915"/>
      <c r="AV245" s="915"/>
      <c r="AW245" s="916"/>
    </row>
    <row r="246" spans="1:49" ht="24.95" customHeight="1" thickTop="1" thickBot="1" x14ac:dyDescent="0.3">
      <c r="A246" s="439" t="s">
        <v>906</v>
      </c>
      <c r="B246" s="1542" t="s">
        <v>128</v>
      </c>
      <c r="C246" s="1541"/>
      <c r="D246" s="1542" t="s">
        <v>303</v>
      </c>
      <c r="E246" s="1543"/>
      <c r="F246" s="1544" t="s">
        <v>129</v>
      </c>
      <c r="G246" s="1541"/>
      <c r="H246" s="1542" t="s">
        <v>303</v>
      </c>
      <c r="I246" s="1543"/>
      <c r="J246" s="1544" t="s">
        <v>130</v>
      </c>
      <c r="K246" s="1541"/>
      <c r="L246" s="1542" t="s">
        <v>303</v>
      </c>
      <c r="M246" s="1543"/>
      <c r="N246" s="1544" t="s">
        <v>131</v>
      </c>
      <c r="O246" s="1541"/>
      <c r="P246" s="1542" t="s">
        <v>303</v>
      </c>
      <c r="Q246" s="1543"/>
      <c r="R246" s="1544" t="s">
        <v>132</v>
      </c>
      <c r="S246" s="1541"/>
      <c r="T246" s="1542" t="s">
        <v>303</v>
      </c>
      <c r="U246" s="1543"/>
      <c r="V246" s="1544" t="s">
        <v>133</v>
      </c>
      <c r="W246" s="1541"/>
      <c r="X246" s="1542" t="s">
        <v>303</v>
      </c>
      <c r="Y246" s="1543"/>
      <c r="Z246" s="1544" t="s">
        <v>134</v>
      </c>
      <c r="AA246" s="1541"/>
      <c r="AB246" s="1542" t="s">
        <v>303</v>
      </c>
      <c r="AC246" s="1543"/>
      <c r="AD246" s="1544" t="s">
        <v>135</v>
      </c>
      <c r="AE246" s="1541"/>
      <c r="AF246" s="1542" t="s">
        <v>303</v>
      </c>
      <c r="AG246" s="1543"/>
      <c r="AH246" s="1544" t="s">
        <v>136</v>
      </c>
      <c r="AI246" s="1541"/>
      <c r="AJ246" s="1542" t="s">
        <v>303</v>
      </c>
      <c r="AK246" s="1543"/>
      <c r="AL246" s="1544" t="s">
        <v>137</v>
      </c>
      <c r="AM246" s="1541"/>
      <c r="AN246" s="1542" t="s">
        <v>303</v>
      </c>
      <c r="AO246" s="1543"/>
      <c r="AP246" s="1544" t="s">
        <v>138</v>
      </c>
      <c r="AQ246" s="1541"/>
      <c r="AR246" s="1542" t="s">
        <v>303</v>
      </c>
      <c r="AS246" s="1543"/>
      <c r="AT246" s="1544" t="s">
        <v>139</v>
      </c>
      <c r="AU246" s="1541"/>
      <c r="AV246" s="1542" t="s">
        <v>303</v>
      </c>
      <c r="AW246" s="1543"/>
    </row>
    <row r="247" spans="1:49" ht="24.95" customHeight="1" thickTop="1" thickBot="1" x14ac:dyDescent="0.3">
      <c r="A247" s="440" t="s">
        <v>313</v>
      </c>
      <c r="B247" s="452">
        <f>C6</f>
        <v>64148.639999999999</v>
      </c>
      <c r="C247" s="452">
        <f>D6</f>
        <v>20271.23</v>
      </c>
      <c r="D247" s="453">
        <f t="shared" ref="D247:D252" si="65">$B247/$B$244</f>
        <v>0.35757920380055386</v>
      </c>
      <c r="E247" s="917">
        <f>$C247/$C$244</f>
        <v>0.23604771344544939</v>
      </c>
      <c r="F247" s="454">
        <f>E6</f>
        <v>74637.47</v>
      </c>
      <c r="G247" s="452">
        <f>F6</f>
        <v>23765.599999999999</v>
      </c>
      <c r="H247" s="453">
        <f>$F247/$F$244</f>
        <v>0.50587448356895981</v>
      </c>
      <c r="I247" s="917">
        <f>$G247/$G$244</f>
        <v>0.19551290093426729</v>
      </c>
      <c r="J247" s="454">
        <f>G6</f>
        <v>68861.58</v>
      </c>
      <c r="K247" s="452">
        <f>H6</f>
        <v>20914.5</v>
      </c>
      <c r="L247" s="453">
        <f>$J247/$J$244</f>
        <v>0.34449623609227165</v>
      </c>
      <c r="M247" s="917">
        <f>$K247/$K$244</f>
        <v>0.32953392563148259</v>
      </c>
      <c r="N247" s="454">
        <f>I6</f>
        <v>66085.09</v>
      </c>
      <c r="O247" s="452">
        <f>J6</f>
        <v>20754.8</v>
      </c>
      <c r="P247" s="453">
        <f t="shared" ref="P247:P252" si="66">$N247/$N$244</f>
        <v>0.45071720785281499</v>
      </c>
      <c r="Q247" s="917">
        <f t="shared" ref="Q247:Q252" si="67">$O247/$O$244</f>
        <v>0.22262756693238137</v>
      </c>
      <c r="R247" s="454">
        <f>K6</f>
        <v>64547.59</v>
      </c>
      <c r="S247" s="452">
        <f>L6</f>
        <v>21988.62</v>
      </c>
      <c r="T247" s="453">
        <f t="shared" ref="T247:T252" si="68">$R247/$R$244</f>
        <v>0.36761289753793241</v>
      </c>
      <c r="U247" s="917">
        <f t="shared" ref="U247:U252" si="69">$S247/$S$244</f>
        <v>0.19418692039426216</v>
      </c>
      <c r="V247" s="454">
        <f>M6</f>
        <v>62531.09</v>
      </c>
      <c r="W247" s="452">
        <f>N6</f>
        <v>22356.21</v>
      </c>
      <c r="X247" s="453">
        <f t="shared" ref="X247:X252" si="70">$V247/$V$244</f>
        <v>0.27600701742119926</v>
      </c>
      <c r="Y247" s="917">
        <f t="shared" ref="Y247:Y252" si="71">$W247/$W$244</f>
        <v>0.17576217139245165</v>
      </c>
      <c r="Z247" s="454">
        <f>O6</f>
        <v>63948.82</v>
      </c>
      <c r="AA247" s="454">
        <f>P6</f>
        <v>0</v>
      </c>
      <c r="AB247" s="453">
        <f t="shared" ref="AB247:AB252" si="72">$Z247/$Z$244</f>
        <v>0.28107280988156841</v>
      </c>
      <c r="AC247" s="917">
        <f>$AA247/$AA$244</f>
        <v>0</v>
      </c>
      <c r="AD247" s="454">
        <f>Q6</f>
        <v>59654.49</v>
      </c>
      <c r="AE247" s="454">
        <f>R6</f>
        <v>0</v>
      </c>
      <c r="AF247" s="453">
        <f t="shared" ref="AF247:AF252" si="73">$AD247/$AD$244</f>
        <v>2.0484535254098999</v>
      </c>
      <c r="AG247" s="917">
        <f>$AE247/$AE$244</f>
        <v>0</v>
      </c>
      <c r="AH247" s="454">
        <f>S6</f>
        <v>63875.39</v>
      </c>
      <c r="AI247" s="454">
        <f>T6</f>
        <v>0</v>
      </c>
      <c r="AJ247" s="983">
        <f>$AH247/$AH$244</f>
        <v>0.29299465636053457</v>
      </c>
      <c r="AK247" s="921">
        <f>$AI247/$AI$244</f>
        <v>0</v>
      </c>
      <c r="AL247" s="454">
        <f>U6</f>
        <v>60314.86</v>
      </c>
      <c r="AM247" s="454">
        <f>V6</f>
        <v>0</v>
      </c>
      <c r="AN247" s="453">
        <f t="shared" ref="AN247:AN252" si="74">$AL247/$AL$244</f>
        <v>0.27767492985716574</v>
      </c>
      <c r="AO247" s="921">
        <f>$AM247/$AM$244</f>
        <v>0</v>
      </c>
      <c r="AP247" s="454">
        <f>W6</f>
        <v>62043.18</v>
      </c>
      <c r="AQ247" s="454">
        <f>X6</f>
        <v>0</v>
      </c>
      <c r="AR247" s="453">
        <f t="shared" ref="AR247:AR252" si="75">$AP247/$AP$244</f>
        <v>0.32255712930134711</v>
      </c>
      <c r="AS247" s="921">
        <f>$AQ247/$AQ$244</f>
        <v>0</v>
      </c>
      <c r="AT247" s="454">
        <f>Y6</f>
        <v>65602.17</v>
      </c>
      <c r="AU247" s="454">
        <f>Z6</f>
        <v>0</v>
      </c>
      <c r="AV247" s="453">
        <f t="shared" ref="AV247:AV252" si="76">$AT247/$AT$244</f>
        <v>1.7202853481377871</v>
      </c>
      <c r="AW247" s="921">
        <f t="shared" ref="AW247:AW252" si="77">$AU247/$AU$244</f>
        <v>0</v>
      </c>
    </row>
    <row r="248" spans="1:49" ht="24.95" customHeight="1" thickTop="1" thickBot="1" x14ac:dyDescent="0.3">
      <c r="A248" s="440" t="s">
        <v>326</v>
      </c>
      <c r="B248" s="452">
        <f>C13-C14</f>
        <v>9107.7199999999993</v>
      </c>
      <c r="C248" s="452">
        <f>D13-D14</f>
        <v>34711.370000000003</v>
      </c>
      <c r="D248" s="453">
        <f t="shared" si="65"/>
        <v>5.0768516153084149E-2</v>
      </c>
      <c r="E248" s="917">
        <f t="shared" ref="E248:E252" si="78">$C248/$C$244</f>
        <v>0.4041954789649651</v>
      </c>
      <c r="F248" s="454">
        <f>E13-E14</f>
        <v>9286.1200000000008</v>
      </c>
      <c r="G248" s="452">
        <f>F13-F14</f>
        <v>34771.870000000003</v>
      </c>
      <c r="H248" s="453">
        <f t="shared" ref="H248:H252" si="79">$F248/$F$244</f>
        <v>6.2939046022854064E-2</v>
      </c>
      <c r="I248" s="917">
        <f t="shared" ref="I248:I252" si="80">$G248/$G$244</f>
        <v>0.28605838584379195</v>
      </c>
      <c r="J248" s="454">
        <f>G13-G14</f>
        <v>9286.1200000000008</v>
      </c>
      <c r="K248" s="452">
        <f>H13-H14</f>
        <v>34771.870000000003</v>
      </c>
      <c r="L248" s="453">
        <f t="shared" ref="L248:L252" si="81">$J248/$J$244</f>
        <v>4.6455997493829879E-2</v>
      </c>
      <c r="M248" s="917">
        <f t="shared" ref="M248:M252" si="82">$K248/$K$244</f>
        <v>0.54787400237383543</v>
      </c>
      <c r="N248" s="454">
        <f>I13-I14</f>
        <v>9328.1200000000008</v>
      </c>
      <c r="O248" s="452">
        <f>J13-J14</f>
        <v>34806.870000000003</v>
      </c>
      <c r="P248" s="453">
        <f t="shared" si="66"/>
        <v>6.3620163049123504E-2</v>
      </c>
      <c r="Q248" s="917">
        <f t="shared" si="67"/>
        <v>0.37335791145333602</v>
      </c>
      <c r="R248" s="454">
        <f>K13-K14</f>
        <v>9328.1200000000008</v>
      </c>
      <c r="S248" s="452">
        <f>L13-L14</f>
        <v>34806.870000000003</v>
      </c>
      <c r="T248" s="453">
        <f t="shared" si="68"/>
        <v>5.3125720445667123E-2</v>
      </c>
      <c r="U248" s="917">
        <f t="shared" si="69"/>
        <v>0.30738804408204939</v>
      </c>
      <c r="V248" s="454">
        <f>M13-M14</f>
        <v>9438.1200000000008</v>
      </c>
      <c r="W248" s="452">
        <f>N13-N14</f>
        <v>34806.870000000003</v>
      </c>
      <c r="X248" s="453">
        <f t="shared" si="70"/>
        <v>4.1659074730080181E-2</v>
      </c>
      <c r="Y248" s="917">
        <f t="shared" si="71"/>
        <v>0.27364795063987968</v>
      </c>
      <c r="Z248" s="454">
        <f>O13-O14</f>
        <v>9438.1200000000008</v>
      </c>
      <c r="AA248" s="454">
        <f>P13-P14</f>
        <v>34806.870000000003</v>
      </c>
      <c r="AB248" s="453">
        <f t="shared" si="72"/>
        <v>4.1483156505459029E-2</v>
      </c>
      <c r="AC248" s="917">
        <f t="shared" ref="AC248:AC252" si="83">$AA248/$AA$244</f>
        <v>3.0483630333591142E-2</v>
      </c>
      <c r="AD248" s="454">
        <f>Q13-Q14</f>
        <v>4719.18</v>
      </c>
      <c r="AE248" s="454">
        <f>R13-R14</f>
        <v>17403.53</v>
      </c>
      <c r="AF248" s="453">
        <f t="shared" si="73"/>
        <v>0.16205018110194042</v>
      </c>
      <c r="AG248" s="917">
        <f t="shared" ref="AG248:AG252" si="84">$AE248/$AE$244</f>
        <v>5.6311898167322436</v>
      </c>
      <c r="AH248" s="454">
        <f>S13-S14</f>
        <v>9438.1200000000008</v>
      </c>
      <c r="AI248" s="454">
        <f>T13-T14</f>
        <v>34806.870000000003</v>
      </c>
      <c r="AJ248" s="453">
        <f t="shared" ref="AJ248:AJ252" si="85">$AH248/$AH$244</f>
        <v>4.3292396744497197E-2</v>
      </c>
      <c r="AK248" s="921">
        <f t="shared" ref="AK248:AK252" si="86">$AI248/$AI$244</f>
        <v>0.23517292575008902</v>
      </c>
      <c r="AL248" s="454">
        <f>U13-U14</f>
        <v>9438.1200000000008</v>
      </c>
      <c r="AM248" s="454">
        <f>V13-V14</f>
        <v>34806.870000000003</v>
      </c>
      <c r="AN248" s="453">
        <f t="shared" si="74"/>
        <v>4.3450806467651801E-2</v>
      </c>
      <c r="AO248" s="921">
        <f t="shared" ref="AO248:AO252" si="87">$AM248/$AM$244</f>
        <v>0.22844971216095122</v>
      </c>
      <c r="AP248" s="454">
        <f>W13-W14</f>
        <v>9438.1200000000008</v>
      </c>
      <c r="AQ248" s="454">
        <f>X13-X14</f>
        <v>34806.870000000003</v>
      </c>
      <c r="AR248" s="453">
        <f t="shared" si="75"/>
        <v>4.9067969971907155E-2</v>
      </c>
      <c r="AS248" s="921">
        <f t="shared" ref="AS248:AS252" si="88">$AQ248/$AQ$244</f>
        <v>0.24429475531795949</v>
      </c>
      <c r="AT248" s="454">
        <f>Y13-Y14</f>
        <v>4719.0600000000004</v>
      </c>
      <c r="AU248" s="454">
        <f>Z13-Z14</f>
        <v>17403.38</v>
      </c>
      <c r="AV248" s="453">
        <f t="shared" si="76"/>
        <v>0.12374788478769995</v>
      </c>
      <c r="AW248" s="921">
        <f t="shared" si="77"/>
        <v>0.17758212164727064</v>
      </c>
    </row>
    <row r="249" spans="1:49" ht="24.95" customHeight="1" thickTop="1" thickBot="1" x14ac:dyDescent="0.3">
      <c r="A249" s="440" t="s">
        <v>327</v>
      </c>
      <c r="B249" s="452">
        <f>C15</f>
        <v>8188.6</v>
      </c>
      <c r="C249" s="452">
        <f>D15</f>
        <v>2871.67</v>
      </c>
      <c r="D249" s="453">
        <f t="shared" si="65"/>
        <v>4.5645130874812236E-2</v>
      </c>
      <c r="E249" s="917">
        <f t="shared" si="78"/>
        <v>3.343907287667762E-2</v>
      </c>
      <c r="F249" s="454">
        <f>E15</f>
        <v>9151.7900000000009</v>
      </c>
      <c r="G249" s="452">
        <f>F15</f>
        <v>1940.08</v>
      </c>
      <c r="H249" s="453">
        <f t="shared" si="79"/>
        <v>6.202859019714322E-2</v>
      </c>
      <c r="I249" s="917">
        <f t="shared" si="80"/>
        <v>1.5960492007125984E-2</v>
      </c>
      <c r="J249" s="454">
        <f>G15</f>
        <v>4895.9799999999996</v>
      </c>
      <c r="K249" s="452">
        <f>H15</f>
        <v>1297.77</v>
      </c>
      <c r="L249" s="453">
        <f t="shared" si="81"/>
        <v>2.4493290481906457E-2</v>
      </c>
      <c r="M249" s="917">
        <f t="shared" si="82"/>
        <v>2.0447978324452852E-2</v>
      </c>
      <c r="N249" s="454">
        <f>I15</f>
        <v>28442.17</v>
      </c>
      <c r="O249" s="452">
        <f>J15</f>
        <v>1666.2</v>
      </c>
      <c r="P249" s="453">
        <f t="shared" si="66"/>
        <v>0.19398287038233739</v>
      </c>
      <c r="Q249" s="917">
        <f t="shared" si="67"/>
        <v>1.7872591016185841E-2</v>
      </c>
      <c r="R249" s="454">
        <f>K15</f>
        <v>8505.02</v>
      </c>
      <c r="S249" s="452">
        <f>L15</f>
        <v>1960.08</v>
      </c>
      <c r="T249" s="453">
        <f t="shared" si="68"/>
        <v>4.8437982670120859E-2</v>
      </c>
      <c r="U249" s="917">
        <f t="shared" si="69"/>
        <v>1.7309949370464605E-2</v>
      </c>
      <c r="V249" s="454">
        <f>M15</f>
        <v>6720.64</v>
      </c>
      <c r="W249" s="452">
        <f>N15</f>
        <v>432.41</v>
      </c>
      <c r="X249" s="453">
        <f t="shared" si="70"/>
        <v>2.9664344593411194E-2</v>
      </c>
      <c r="Y249" s="917">
        <f t="shared" si="71"/>
        <v>3.399561935221132E-3</v>
      </c>
      <c r="Z249" s="454">
        <f>O15</f>
        <v>9377.39</v>
      </c>
      <c r="AA249" s="454">
        <f>P15</f>
        <v>792.13</v>
      </c>
      <c r="AB249" s="453">
        <f t="shared" si="72"/>
        <v>4.1216231302709266E-2</v>
      </c>
      <c r="AC249" s="917">
        <f t="shared" si="83"/>
        <v>6.9374230133728055E-4</v>
      </c>
      <c r="AD249" s="454">
        <f>Q15</f>
        <v>15260.86</v>
      </c>
      <c r="AE249" s="454">
        <f>R15</f>
        <v>387.73</v>
      </c>
      <c r="AF249" s="453">
        <f t="shared" si="73"/>
        <v>0.52403704176813737</v>
      </c>
      <c r="AG249" s="917">
        <f t="shared" si="84"/>
        <v>0.12545622799751505</v>
      </c>
      <c r="AH249" s="454">
        <f>S15</f>
        <v>6351.24</v>
      </c>
      <c r="AI249" s="454">
        <f>T15</f>
        <v>992.82</v>
      </c>
      <c r="AJ249" s="453">
        <f t="shared" si="85"/>
        <v>2.9132963121842097E-2</v>
      </c>
      <c r="AK249" s="921">
        <f t="shared" si="86"/>
        <v>6.7079971322673761E-3</v>
      </c>
      <c r="AL249" s="454">
        <f>U15</f>
        <v>2839.7</v>
      </c>
      <c r="AM249" s="454">
        <f>V15</f>
        <v>2760.32</v>
      </c>
      <c r="AN249" s="453">
        <f t="shared" si="74"/>
        <v>1.3073287384160279E-2</v>
      </c>
      <c r="AO249" s="921">
        <f t="shared" si="87"/>
        <v>1.8116949598516525E-2</v>
      </c>
      <c r="AP249" s="454">
        <f>W15</f>
        <v>22700.04</v>
      </c>
      <c r="AQ249" s="454">
        <f>X15</f>
        <v>299.92</v>
      </c>
      <c r="AR249" s="453">
        <f t="shared" si="75"/>
        <v>0.11801554558334618</v>
      </c>
      <c r="AS249" s="921">
        <f t="shared" si="88"/>
        <v>2.1050121144177117E-3</v>
      </c>
      <c r="AT249" s="454">
        <f>Y15</f>
        <v>7928.85</v>
      </c>
      <c r="AU249" s="454">
        <f>Z15</f>
        <v>3022.18</v>
      </c>
      <c r="AV249" s="453">
        <f t="shared" si="76"/>
        <v>0.207918190550439</v>
      </c>
      <c r="AW249" s="921">
        <f t="shared" si="77"/>
        <v>3.083798298950826E-2</v>
      </c>
    </row>
    <row r="250" spans="1:49" ht="24.95" customHeight="1" thickTop="1" thickBot="1" x14ac:dyDescent="0.3">
      <c r="A250" s="440" t="s">
        <v>60</v>
      </c>
      <c r="B250" s="452">
        <f>C11</f>
        <v>20143.64</v>
      </c>
      <c r="C250" s="452">
        <f>D11</f>
        <v>294.39</v>
      </c>
      <c r="D250" s="453">
        <f t="shared" si="65"/>
        <v>0.11228526049570167</v>
      </c>
      <c r="E250" s="917">
        <f t="shared" si="78"/>
        <v>3.4280152887222852E-3</v>
      </c>
      <c r="F250" s="454">
        <f>E11</f>
        <v>28975.08</v>
      </c>
      <c r="G250" s="452">
        <f>F11</f>
        <v>382.36</v>
      </c>
      <c r="H250" s="453">
        <f t="shared" si="79"/>
        <v>0.19638599260357159</v>
      </c>
      <c r="I250" s="917">
        <f t="shared" si="80"/>
        <v>3.1455680816485361E-3</v>
      </c>
      <c r="J250" s="454">
        <f>G11</f>
        <v>24627.77</v>
      </c>
      <c r="K250" s="452">
        <f>H11</f>
        <v>460.22</v>
      </c>
      <c r="L250" s="453">
        <f t="shared" si="81"/>
        <v>0.12320620683327575</v>
      </c>
      <c r="M250" s="917">
        <f t="shared" si="82"/>
        <v>7.2513377443458333E-3</v>
      </c>
      <c r="N250" s="454">
        <f>I11</f>
        <v>25770.49</v>
      </c>
      <c r="O250" s="452">
        <f>J11</f>
        <v>310.66000000000003</v>
      </c>
      <c r="P250" s="453">
        <f t="shared" si="66"/>
        <v>0.17576132979162004</v>
      </c>
      <c r="Q250" s="917">
        <f t="shared" si="67"/>
        <v>3.3323125225592927E-3</v>
      </c>
      <c r="R250" s="454">
        <f>K11</f>
        <v>23043.08</v>
      </c>
      <c r="S250" s="452">
        <f>L11</f>
        <v>9778.06</v>
      </c>
      <c r="T250" s="453">
        <f t="shared" si="68"/>
        <v>0.13123547148698164</v>
      </c>
      <c r="U250" s="917">
        <f t="shared" si="69"/>
        <v>8.6352456808581862E-2</v>
      </c>
      <c r="V250" s="454">
        <f>M11</f>
        <v>25921.26</v>
      </c>
      <c r="W250" s="452">
        <f>N11</f>
        <v>516.20000000000005</v>
      </c>
      <c r="X250" s="453">
        <f t="shared" si="70"/>
        <v>0.1144142803267852</v>
      </c>
      <c r="Y250" s="917">
        <f t="shared" si="71"/>
        <v>4.0583101014341674E-3</v>
      </c>
      <c r="Z250" s="454">
        <f>O11</f>
        <v>32047.66</v>
      </c>
      <c r="AA250" s="454">
        <f>P11</f>
        <v>498.43</v>
      </c>
      <c r="AB250" s="453">
        <f t="shared" si="72"/>
        <v>0.14085835901786997</v>
      </c>
      <c r="AC250" s="917">
        <f t="shared" si="83"/>
        <v>4.3652175180278581E-4</v>
      </c>
      <c r="AD250" s="454">
        <f>Q11</f>
        <v>18418.330000000002</v>
      </c>
      <c r="AE250" s="454">
        <f>R11</f>
        <v>331.79</v>
      </c>
      <c r="AF250" s="453">
        <f t="shared" si="73"/>
        <v>0.63246023929905237</v>
      </c>
      <c r="AG250" s="917">
        <f t="shared" si="84"/>
        <v>0.10735594843652933</v>
      </c>
      <c r="AH250" s="454">
        <f>S11</f>
        <v>24330.93</v>
      </c>
      <c r="AI250" s="454">
        <f>T11</f>
        <v>551.35</v>
      </c>
      <c r="AJ250" s="453">
        <f t="shared" si="85"/>
        <v>0.11160530642994464</v>
      </c>
      <c r="AK250" s="921">
        <f t="shared" si="86"/>
        <v>3.7252011632275921E-3</v>
      </c>
      <c r="AL250" s="454">
        <f>U11</f>
        <v>27341.46</v>
      </c>
      <c r="AM250" s="454">
        <f>V11</f>
        <v>387.25</v>
      </c>
      <c r="AN250" s="453">
        <f t="shared" si="74"/>
        <v>0.12587342468659468</v>
      </c>
      <c r="AO250" s="921">
        <f t="shared" si="87"/>
        <v>2.5416577541826761E-3</v>
      </c>
      <c r="AP250" s="454">
        <f>W11</f>
        <v>23810.58</v>
      </c>
      <c r="AQ250" s="454">
        <f>X11</f>
        <v>441.25</v>
      </c>
      <c r="AR250" s="453">
        <f t="shared" si="75"/>
        <v>0.12378914703920835</v>
      </c>
      <c r="AS250" s="921">
        <f t="shared" si="88"/>
        <v>3.0969478377127738E-3</v>
      </c>
      <c r="AT250" s="454">
        <f>Y11</f>
        <v>24780.97</v>
      </c>
      <c r="AU250" s="454">
        <f>Z11</f>
        <v>359.38</v>
      </c>
      <c r="AV250" s="453">
        <f t="shared" si="76"/>
        <v>0.64983124191840091</v>
      </c>
      <c r="AW250" s="921">
        <f t="shared" si="77"/>
        <v>3.667072883405184E-3</v>
      </c>
    </row>
    <row r="251" spans="1:49" ht="24.95" customHeight="1" thickTop="1" thickBot="1" x14ac:dyDescent="0.3">
      <c r="A251" s="440" t="s">
        <v>317</v>
      </c>
      <c r="B251" s="452">
        <f>C18</f>
        <v>115.83</v>
      </c>
      <c r="C251" s="452">
        <f>D18</f>
        <v>824.18</v>
      </c>
      <c r="D251" s="453">
        <f t="shared" si="65"/>
        <v>6.456629349619595E-4</v>
      </c>
      <c r="E251" s="917">
        <f t="shared" si="78"/>
        <v>9.5971386278716434E-3</v>
      </c>
      <c r="F251" s="454">
        <f>E18</f>
        <v>88.29</v>
      </c>
      <c r="G251" s="452">
        <f>F18</f>
        <v>603.70000000000005</v>
      </c>
      <c r="H251" s="453">
        <f t="shared" si="79"/>
        <v>5.9840798668957381E-4</v>
      </c>
      <c r="I251" s="917">
        <f t="shared" si="80"/>
        <v>4.966469952116386E-3</v>
      </c>
      <c r="J251" s="454">
        <f>G18</f>
        <v>119.85</v>
      </c>
      <c r="K251" s="452">
        <f>H18</f>
        <v>392.33</v>
      </c>
      <c r="L251" s="453">
        <f t="shared" si="81"/>
        <v>5.9957778917734317E-4</v>
      </c>
      <c r="M251" s="917">
        <f t="shared" si="82"/>
        <v>6.1816464674268835E-3</v>
      </c>
      <c r="N251" s="454">
        <f>I18</f>
        <v>232.9</v>
      </c>
      <c r="O251" s="452">
        <f>J18</f>
        <v>559.36</v>
      </c>
      <c r="P251" s="453">
        <f t="shared" si="66"/>
        <v>1.5884375387688907E-3</v>
      </c>
      <c r="Q251" s="917">
        <f t="shared" si="67"/>
        <v>6.0000075085906322E-3</v>
      </c>
      <c r="R251" s="454">
        <f>K18</f>
        <v>193.25</v>
      </c>
      <c r="S251" s="452">
        <f>L18</f>
        <v>1033.1300000000001</v>
      </c>
      <c r="T251" s="453">
        <f t="shared" si="68"/>
        <v>1.1006017800076725E-3</v>
      </c>
      <c r="U251" s="917">
        <f t="shared" si="69"/>
        <v>9.123825554624352E-3</v>
      </c>
      <c r="V251" s="454">
        <f>M18</f>
        <v>54.25</v>
      </c>
      <c r="W251" s="452">
        <f>N18</f>
        <v>171.3</v>
      </c>
      <c r="X251" s="453">
        <f t="shared" si="70"/>
        <v>2.3945497663802214E-4</v>
      </c>
      <c r="Y251" s="917">
        <f t="shared" si="71"/>
        <v>1.3467425811229618E-3</v>
      </c>
      <c r="Z251" s="454">
        <f>O18</f>
        <v>1183.78</v>
      </c>
      <c r="AA251" s="454">
        <f>P18</f>
        <v>1509.88</v>
      </c>
      <c r="AB251" s="453">
        <f t="shared" si="72"/>
        <v>5.2030416023564315E-3</v>
      </c>
      <c r="AC251" s="917">
        <f t="shared" si="83"/>
        <v>1.3223430825030401E-3</v>
      </c>
      <c r="AD251" s="454">
        <f>Q18</f>
        <v>395.79</v>
      </c>
      <c r="AE251" s="454">
        <f>R18</f>
        <v>158.19999999999999</v>
      </c>
      <c r="AF251" s="453">
        <f t="shared" si="73"/>
        <v>1.3590886802015815E-2</v>
      </c>
      <c r="AG251" s="917">
        <f t="shared" si="84"/>
        <v>5.1188134189273149E-2</v>
      </c>
      <c r="AH251" s="454">
        <f>S18</f>
        <v>35.700000000000003</v>
      </c>
      <c r="AI251" s="454">
        <f>T18</f>
        <v>788.39</v>
      </c>
      <c r="AJ251" s="453">
        <f t="shared" si="85"/>
        <v>1.6375491769320054E-4</v>
      </c>
      <c r="AK251" s="921">
        <f t="shared" si="86"/>
        <v>5.3267640248063864E-3</v>
      </c>
      <c r="AL251" s="454">
        <f>U18</f>
        <v>385.79</v>
      </c>
      <c r="AM251" s="454">
        <f>V18</f>
        <v>478.07</v>
      </c>
      <c r="AN251" s="453">
        <f t="shared" si="74"/>
        <v>1.7760832270786332E-3</v>
      </c>
      <c r="AO251" s="921">
        <f t="shared" si="87"/>
        <v>3.1377413106316639E-3</v>
      </c>
      <c r="AP251" s="454">
        <f>W18</f>
        <v>78.98</v>
      </c>
      <c r="AQ251" s="454">
        <f>X18</f>
        <v>889.39</v>
      </c>
      <c r="AR251" s="453">
        <f t="shared" si="75"/>
        <v>4.1061019232444879E-4</v>
      </c>
      <c r="AS251" s="921">
        <f t="shared" si="88"/>
        <v>6.2422536824552162E-3</v>
      </c>
      <c r="AT251" s="454">
        <f>Y18</f>
        <v>1007.22</v>
      </c>
      <c r="AU251" s="454">
        <f>Z18</f>
        <v>414.54</v>
      </c>
      <c r="AV251" s="453">
        <f t="shared" si="76"/>
        <v>2.6412324597667149E-2</v>
      </c>
      <c r="AW251" s="921">
        <f t="shared" si="77"/>
        <v>4.2299192862340282E-3</v>
      </c>
    </row>
    <row r="252" spans="1:49" ht="24.95" customHeight="1" thickTop="1" thickBot="1" x14ac:dyDescent="0.3">
      <c r="A252" s="440" t="s">
        <v>316</v>
      </c>
      <c r="B252" s="456">
        <f>C19</f>
        <v>14683.96</v>
      </c>
      <c r="C252" s="456">
        <f>D19</f>
        <v>16776.739999999998</v>
      </c>
      <c r="D252" s="453">
        <f t="shared" si="65"/>
        <v>8.1851754385427036E-2</v>
      </c>
      <c r="E252" s="917">
        <f t="shared" si="78"/>
        <v>0.19535623225965115</v>
      </c>
      <c r="F252" s="913">
        <f>E19</f>
        <v>17046.13</v>
      </c>
      <c r="G252" s="456">
        <f>F19</f>
        <v>16940.810000000001</v>
      </c>
      <c r="H252" s="453">
        <f t="shared" si="79"/>
        <v>0.11553449240173003</v>
      </c>
      <c r="I252" s="917">
        <f t="shared" si="80"/>
        <v>0.1393672748542534</v>
      </c>
      <c r="J252" s="913">
        <f>G19</f>
        <v>17335.91</v>
      </c>
      <c r="K252" s="456">
        <f>H19</f>
        <v>16703.89</v>
      </c>
      <c r="L252" s="453">
        <f t="shared" si="81"/>
        <v>8.6726963631017076E-2</v>
      </c>
      <c r="M252" s="917">
        <f t="shared" si="82"/>
        <v>0.26319053503628898</v>
      </c>
      <c r="N252" s="913">
        <f>I19</f>
        <v>15975.509999999998</v>
      </c>
      <c r="O252" s="456">
        <f>J19</f>
        <v>9309.0399999999991</v>
      </c>
      <c r="P252" s="453">
        <f t="shared" si="66"/>
        <v>0.10895706219397938</v>
      </c>
      <c r="Q252" s="921">
        <f t="shared" si="67"/>
        <v>9.985395791220418E-2</v>
      </c>
      <c r="R252" s="913">
        <f>K19</f>
        <v>25363.79</v>
      </c>
      <c r="S252" s="456">
        <f>L19</f>
        <v>25088.35</v>
      </c>
      <c r="T252" s="453">
        <f t="shared" si="68"/>
        <v>0.14445243167783081</v>
      </c>
      <c r="U252" s="921">
        <f t="shared" si="69"/>
        <v>0.2215613996818985</v>
      </c>
      <c r="V252" s="913">
        <f>M19</f>
        <v>15367.99</v>
      </c>
      <c r="W252" s="456">
        <f>N19</f>
        <v>0</v>
      </c>
      <c r="X252" s="453">
        <f t="shared" si="70"/>
        <v>6.7833026477849917E-2</v>
      </c>
      <c r="Y252" s="921">
        <f t="shared" si="71"/>
        <v>0</v>
      </c>
      <c r="Z252" s="913">
        <f>O19</f>
        <v>34811.449999999997</v>
      </c>
      <c r="AA252" s="913">
        <f>P19</f>
        <v>0</v>
      </c>
      <c r="AB252" s="453">
        <f t="shared" si="72"/>
        <v>0.153005983027548</v>
      </c>
      <c r="AC252" s="921">
        <f t="shared" si="83"/>
        <v>0</v>
      </c>
      <c r="AD252" s="913">
        <f>Q19</f>
        <v>-54872.310000000005</v>
      </c>
      <c r="AE252" s="913">
        <f>R19</f>
        <v>0</v>
      </c>
      <c r="AF252" s="983">
        <f t="shared" si="73"/>
        <v>-1.8842400105488275</v>
      </c>
      <c r="AG252" s="921">
        <f t="shared" si="84"/>
        <v>0</v>
      </c>
      <c r="AH252" s="913">
        <f>S19</f>
        <v>19574.11</v>
      </c>
      <c r="AI252" s="913">
        <f>T19</f>
        <v>0</v>
      </c>
      <c r="AJ252" s="453">
        <f t="shared" si="85"/>
        <v>8.9785903976684969E-2</v>
      </c>
      <c r="AK252" s="921">
        <f t="shared" si="86"/>
        <v>0</v>
      </c>
      <c r="AL252" s="913">
        <f>U19</f>
        <v>23163.280000000002</v>
      </c>
      <c r="AM252" s="913">
        <f>V19</f>
        <v>0</v>
      </c>
      <c r="AN252" s="453">
        <f t="shared" si="74"/>
        <v>0.1066381012782238</v>
      </c>
      <c r="AO252" s="921">
        <f t="shared" si="87"/>
        <v>0</v>
      </c>
      <c r="AP252" s="913">
        <f>W19</f>
        <v>56676.259999999995</v>
      </c>
      <c r="AQ252" s="913">
        <f>X19</f>
        <v>0</v>
      </c>
      <c r="AR252" s="453">
        <f t="shared" si="75"/>
        <v>0.29465497618169739</v>
      </c>
      <c r="AS252" s="921">
        <f t="shared" si="88"/>
        <v>0</v>
      </c>
      <c r="AT252" s="913">
        <f>Y19</f>
        <v>-25300.37</v>
      </c>
      <c r="AU252" s="913">
        <f>Z19</f>
        <v>0</v>
      </c>
      <c r="AV252" s="453">
        <f t="shared" si="76"/>
        <v>-0.66345146530160237</v>
      </c>
      <c r="AW252" s="921">
        <f t="shared" si="77"/>
        <v>0</v>
      </c>
    </row>
    <row r="253" spans="1:49" ht="24.95" customHeight="1" thickTop="1" thickBot="1" x14ac:dyDescent="0.3">
      <c r="A253" s="1597" t="s">
        <v>328</v>
      </c>
      <c r="B253" s="1596" t="s">
        <v>682</v>
      </c>
      <c r="C253" s="1497"/>
      <c r="D253" s="1498" t="s">
        <v>683</v>
      </c>
      <c r="E253" s="1499"/>
      <c r="F253" s="1496" t="s">
        <v>682</v>
      </c>
      <c r="G253" s="1497"/>
      <c r="H253" s="1498" t="s">
        <v>683</v>
      </c>
      <c r="I253" s="1499"/>
      <c r="J253" s="1496" t="s">
        <v>682</v>
      </c>
      <c r="K253" s="1497"/>
      <c r="L253" s="1498" t="s">
        <v>683</v>
      </c>
      <c r="M253" s="1499"/>
      <c r="N253" s="1496"/>
      <c r="O253" s="1497"/>
      <c r="P253" s="1498"/>
      <c r="Q253" s="1499"/>
      <c r="R253" s="1496"/>
      <c r="S253" s="1497"/>
      <c r="T253" s="1498"/>
      <c r="U253" s="1499"/>
      <c r="V253" s="1496"/>
      <c r="W253" s="1497"/>
      <c r="X253" s="1498"/>
      <c r="Y253" s="1499"/>
      <c r="Z253" s="1496"/>
      <c r="AA253" s="1497"/>
      <c r="AB253" s="1498"/>
      <c r="AC253" s="1499"/>
      <c r="AD253" s="1496"/>
      <c r="AE253" s="1497"/>
      <c r="AF253" s="1498"/>
      <c r="AG253" s="1499"/>
      <c r="AH253" s="1496"/>
      <c r="AI253" s="1497"/>
      <c r="AJ253" s="1498"/>
      <c r="AK253" s="1499"/>
      <c r="AL253" s="1496"/>
      <c r="AM253" s="1497"/>
      <c r="AN253" s="1498"/>
      <c r="AO253" s="1499"/>
      <c r="AP253" s="1496"/>
      <c r="AQ253" s="1497"/>
      <c r="AR253" s="1498"/>
      <c r="AS253" s="1499"/>
      <c r="AT253" s="1496"/>
      <c r="AU253" s="1497"/>
      <c r="AV253" s="1498"/>
      <c r="AW253" s="1499"/>
    </row>
    <row r="254" spans="1:49" ht="24.95" customHeight="1" thickTop="1" thickBot="1" x14ac:dyDescent="0.4">
      <c r="A254" s="1598"/>
      <c r="B254" s="1593">
        <f>(B244-SUM(B247:B252))/B244</f>
        <v>0.35122447135545898</v>
      </c>
      <c r="C254" s="1594"/>
      <c r="D254" s="1593">
        <f>(C244-SUM(C247:C252))/C244</f>
        <v>0.11793634853666275</v>
      </c>
      <c r="E254" s="1595"/>
      <c r="F254" s="1500">
        <f>(F244-SUM(F247:F252))/F244</f>
        <v>5.6638987219051737E-2</v>
      </c>
      <c r="G254" s="1501"/>
      <c r="H254" s="1502">
        <f>(G244-SUM(G247:G252))/G244</f>
        <v>0.35498890832679653</v>
      </c>
      <c r="I254" s="1503"/>
      <c r="J254" s="1500">
        <f>(J244-SUM(J247:J252))/J244</f>
        <v>0.37402172767852182</v>
      </c>
      <c r="K254" s="1501"/>
      <c r="L254" s="1502">
        <f>(K244-SUM(K247:K252))/K244</f>
        <v>-0.17447942557783258</v>
      </c>
      <c r="M254" s="1503"/>
      <c r="N254" s="1500">
        <f>(N244-SUM(N247:N252))/N244</f>
        <v>5.3729291913557631E-3</v>
      </c>
      <c r="O254" s="1501"/>
      <c r="P254" s="1502">
        <f>(O244-SUM(O247:O252))/O244</f>
        <v>0.27695565265474276</v>
      </c>
      <c r="Q254" s="1503"/>
      <c r="R254" s="1500">
        <f>(R244-SUM(R247:R252))/R244</f>
        <v>0.25403489440145943</v>
      </c>
      <c r="S254" s="1501"/>
      <c r="T254" s="1502">
        <f>(S244-SUM(S247:S252))/S244</f>
        <v>0.16407740410811897</v>
      </c>
      <c r="U254" s="1503"/>
      <c r="V254" s="1500">
        <f>(V244-SUM(V247:V252))/V244</f>
        <v>0.47018280147403624</v>
      </c>
      <c r="W254" s="1501"/>
      <c r="X254" s="1502">
        <f>(W244-SUM(W247:W252))/W244</f>
        <v>0.54178526334989041</v>
      </c>
      <c r="Y254" s="1503"/>
      <c r="Z254" s="1500">
        <f>(Z244-SUM(Z247:Z252))/Z244</f>
        <v>0.33716041866248886</v>
      </c>
      <c r="AA254" s="1501"/>
      <c r="AB254" s="1500">
        <f>(AA244-SUM(AA247:AA252))/AA244</f>
        <v>0.96706376253076576</v>
      </c>
      <c r="AC254" s="1501"/>
      <c r="AD254" s="1500">
        <f>-(AD244-SUM(AD247:AD252))/AD244</f>
        <v>0.4963518638322183</v>
      </c>
      <c r="AE254" s="1501"/>
      <c r="AF254" s="1500">
        <f>-(AE244-SUM(AE247:AE252))/AE244</f>
        <v>4.9151901273555607</v>
      </c>
      <c r="AG254" s="1501"/>
      <c r="AH254" s="1500">
        <f>(AH244-SUM(AH247:AH252))/AH244</f>
        <v>0.43302501844880337</v>
      </c>
      <c r="AI254" s="1501"/>
      <c r="AJ254" s="1500">
        <f>(AI244-SUM(AI247:AI252))/AI244</f>
        <v>0.74906711192960973</v>
      </c>
      <c r="AK254" s="1501"/>
      <c r="AL254" s="1500">
        <f>(AL244-SUM(AL247:AL252))/AL244</f>
        <v>0.43151336709912519</v>
      </c>
      <c r="AM254" s="1501"/>
      <c r="AN254" s="1500">
        <f>(AM244-SUM(AM247:AM252))/AM244</f>
        <v>0.74775393917571786</v>
      </c>
      <c r="AO254" s="1501"/>
      <c r="AP254" s="1500">
        <f>(AP244-SUM(AP247:AP252))/AP244</f>
        <v>9.1504621730169475E-2</v>
      </c>
      <c r="AQ254" s="1501"/>
      <c r="AR254" s="1502">
        <f>(AQ244-SUM(AQ247:AQ252))/AQ244</f>
        <v>0.74426103104745489</v>
      </c>
      <c r="AS254" s="1503"/>
      <c r="AT254" s="1500">
        <f>(AT244-SUM(AT247:AT252))/AT244</f>
        <v>-1.0647435246903918</v>
      </c>
      <c r="AU254" s="1501"/>
      <c r="AV254" s="1502">
        <f>(AU244-SUM(AU247:AU252))/AU244</f>
        <v>0.7836829031935818</v>
      </c>
      <c r="AW254" s="1503"/>
    </row>
    <row r="255" spans="1:49" ht="24.95" customHeight="1" thickTop="1" x14ac:dyDescent="0.35">
      <c r="A255" s="445"/>
      <c r="B255" s="457"/>
      <c r="C255" s="457"/>
      <c r="D255" s="457"/>
      <c r="E255" s="457"/>
      <c r="F255" s="458"/>
      <c r="G255" s="458"/>
      <c r="H255" s="458"/>
      <c r="I255" s="458"/>
      <c r="J255" s="458"/>
      <c r="K255" s="458"/>
      <c r="L255" s="458"/>
      <c r="M255" s="458"/>
      <c r="N255" s="458"/>
      <c r="O255" s="458"/>
      <c r="P255" s="458"/>
      <c r="Q255" s="458"/>
      <c r="R255" s="458"/>
      <c r="S255" s="458"/>
      <c r="T255" s="458"/>
      <c r="U255" s="458"/>
      <c r="V255" s="458"/>
      <c r="W255" s="458"/>
      <c r="X255" s="458"/>
      <c r="Y255" s="458"/>
      <c r="Z255" s="458"/>
      <c r="AA255" s="458"/>
      <c r="AB255" s="458"/>
      <c r="AC255" s="458"/>
      <c r="AD255" s="458"/>
      <c r="AE255" s="458"/>
      <c r="AF255" s="458"/>
      <c r="AG255" s="458"/>
      <c r="AH255" s="458"/>
      <c r="AI255" s="458"/>
      <c r="AJ255" s="458"/>
      <c r="AK255" s="458"/>
      <c r="AL255" s="458"/>
      <c r="AM255" s="458"/>
      <c r="AN255" s="458"/>
      <c r="AO255" s="458"/>
      <c r="AP255" s="458"/>
      <c r="AQ255" s="458"/>
      <c r="AR255" s="458"/>
      <c r="AS255" s="458"/>
      <c r="AT255" s="458"/>
      <c r="AU255" s="458"/>
      <c r="AV255" s="458"/>
      <c r="AW255" s="458"/>
    </row>
    <row r="256" spans="1:49" ht="24.95" customHeight="1" thickBot="1" x14ac:dyDescent="0.4">
      <c r="A256" s="446"/>
      <c r="B256" s="459"/>
      <c r="C256" s="459"/>
      <c r="D256" s="459"/>
      <c r="E256" s="459"/>
      <c r="F256" s="460"/>
      <c r="G256" s="460"/>
      <c r="H256" s="460"/>
      <c r="I256" s="460"/>
      <c r="J256" s="460"/>
      <c r="K256" s="460"/>
      <c r="L256" s="460"/>
      <c r="M256" s="460"/>
      <c r="N256" s="460"/>
      <c r="O256" s="460"/>
      <c r="P256" s="460"/>
      <c r="Q256" s="460"/>
      <c r="R256" s="460"/>
      <c r="S256" s="460"/>
      <c r="T256" s="460"/>
      <c r="U256" s="460"/>
      <c r="V256" s="460"/>
      <c r="W256" s="460"/>
      <c r="X256" s="460"/>
      <c r="Y256" s="460"/>
      <c r="Z256" s="460"/>
      <c r="AA256" s="460"/>
      <c r="AB256" s="460"/>
      <c r="AC256" s="460"/>
      <c r="AD256" s="460"/>
      <c r="AE256" s="460"/>
      <c r="AF256" s="460"/>
      <c r="AG256" s="460"/>
      <c r="AH256" s="460"/>
      <c r="AI256" s="460"/>
      <c r="AJ256" s="460"/>
      <c r="AK256" s="460"/>
      <c r="AL256" s="460"/>
      <c r="AM256" s="460"/>
      <c r="AN256" s="460"/>
      <c r="AO256" s="460"/>
      <c r="AP256" s="460"/>
      <c r="AQ256" s="460"/>
      <c r="AR256" s="460"/>
      <c r="AS256" s="460"/>
      <c r="AT256" s="460"/>
      <c r="AU256" s="460"/>
      <c r="AV256" s="460"/>
      <c r="AW256" s="460"/>
    </row>
    <row r="257" spans="1:51" ht="20.25" customHeight="1" thickTop="1" thickBot="1" x14ac:dyDescent="0.3">
      <c r="A257" s="1591" t="s">
        <v>420</v>
      </c>
      <c r="B257" s="1542" t="s">
        <v>128</v>
      </c>
      <c r="C257" s="1541"/>
      <c r="D257" s="1542" t="s">
        <v>303</v>
      </c>
      <c r="E257" s="1544"/>
      <c r="F257" s="1540" t="s">
        <v>129</v>
      </c>
      <c r="G257" s="1541"/>
      <c r="H257" s="1542" t="s">
        <v>303</v>
      </c>
      <c r="I257" s="1543"/>
      <c r="J257" s="1540" t="s">
        <v>130</v>
      </c>
      <c r="K257" s="1541"/>
      <c r="L257" s="1542" t="s">
        <v>303</v>
      </c>
      <c r="M257" s="1543"/>
      <c r="N257" s="1540" t="s">
        <v>131</v>
      </c>
      <c r="O257" s="1541"/>
      <c r="P257" s="1542" t="s">
        <v>303</v>
      </c>
      <c r="Q257" s="1543"/>
      <c r="R257" s="1540" t="s">
        <v>132</v>
      </c>
      <c r="S257" s="1541"/>
      <c r="T257" s="1542" t="s">
        <v>303</v>
      </c>
      <c r="U257" s="1543"/>
      <c r="V257" s="1540" t="s">
        <v>133</v>
      </c>
      <c r="W257" s="1541"/>
      <c r="X257" s="1542" t="s">
        <v>303</v>
      </c>
      <c r="Y257" s="1543"/>
      <c r="Z257" s="1540" t="s">
        <v>134</v>
      </c>
      <c r="AA257" s="1541"/>
      <c r="AB257" s="1542" t="s">
        <v>303</v>
      </c>
      <c r="AC257" s="1543"/>
      <c r="AD257" s="1540" t="s">
        <v>135</v>
      </c>
      <c r="AE257" s="1541"/>
      <c r="AF257" s="1542" t="s">
        <v>303</v>
      </c>
      <c r="AG257" s="1543"/>
      <c r="AH257" s="1540" t="s">
        <v>136</v>
      </c>
      <c r="AI257" s="1541"/>
      <c r="AJ257" s="1542" t="s">
        <v>303</v>
      </c>
      <c r="AK257" s="1543"/>
      <c r="AL257" s="1540" t="s">
        <v>137</v>
      </c>
      <c r="AM257" s="1541"/>
      <c r="AN257" s="1542" t="s">
        <v>303</v>
      </c>
      <c r="AO257" s="1543"/>
      <c r="AP257" s="1540" t="s">
        <v>138</v>
      </c>
      <c r="AQ257" s="1541"/>
      <c r="AR257" s="1542" t="s">
        <v>303</v>
      </c>
      <c r="AS257" s="1543"/>
      <c r="AT257" s="1540" t="s">
        <v>139</v>
      </c>
      <c r="AU257" s="1541"/>
      <c r="AV257" s="1542" t="s">
        <v>303</v>
      </c>
      <c r="AW257" s="1543"/>
      <c r="AX257" s="1540" t="s">
        <v>49</v>
      </c>
      <c r="AY257" s="1541"/>
    </row>
    <row r="258" spans="1:51" ht="20.25" customHeight="1" thickTop="1" thickBot="1" x14ac:dyDescent="0.3">
      <c r="A258" s="1592"/>
      <c r="B258" s="451" t="s">
        <v>682</v>
      </c>
      <c r="C258" s="451" t="s">
        <v>683</v>
      </c>
      <c r="D258" s="451" t="s">
        <v>682</v>
      </c>
      <c r="E258" s="892" t="s">
        <v>683</v>
      </c>
      <c r="F258" s="891" t="s">
        <v>682</v>
      </c>
      <c r="G258" s="892" t="s">
        <v>683</v>
      </c>
      <c r="H258" s="451" t="s">
        <v>682</v>
      </c>
      <c r="I258" s="914" t="s">
        <v>683</v>
      </c>
      <c r="J258" s="891" t="s">
        <v>682</v>
      </c>
      <c r="K258" s="892" t="s">
        <v>683</v>
      </c>
      <c r="L258" s="451" t="s">
        <v>682</v>
      </c>
      <c r="M258" s="914" t="s">
        <v>683</v>
      </c>
      <c r="N258" s="891" t="s">
        <v>682</v>
      </c>
      <c r="O258" s="938" t="s">
        <v>683</v>
      </c>
      <c r="P258" s="451" t="s">
        <v>684</v>
      </c>
      <c r="Q258" s="914" t="s">
        <v>683</v>
      </c>
      <c r="R258" s="891" t="s">
        <v>682</v>
      </c>
      <c r="S258" s="938" t="s">
        <v>683</v>
      </c>
      <c r="T258" s="451" t="s">
        <v>684</v>
      </c>
      <c r="U258" s="914" t="s">
        <v>683</v>
      </c>
      <c r="V258" s="891" t="s">
        <v>682</v>
      </c>
      <c r="W258" s="938" t="s">
        <v>683</v>
      </c>
      <c r="X258" s="451" t="s">
        <v>684</v>
      </c>
      <c r="Y258" s="914" t="s">
        <v>683</v>
      </c>
      <c r="Z258" s="891" t="s">
        <v>684</v>
      </c>
      <c r="AA258" s="967" t="s">
        <v>683</v>
      </c>
      <c r="AB258" s="451" t="s">
        <v>682</v>
      </c>
      <c r="AC258" s="914" t="s">
        <v>683</v>
      </c>
      <c r="AD258" s="891" t="s">
        <v>682</v>
      </c>
      <c r="AE258" s="967" t="s">
        <v>683</v>
      </c>
      <c r="AF258" s="451" t="s">
        <v>682</v>
      </c>
      <c r="AG258" s="914" t="s">
        <v>683</v>
      </c>
      <c r="AH258" s="891" t="s">
        <v>684</v>
      </c>
      <c r="AI258" s="967" t="s">
        <v>683</v>
      </c>
      <c r="AJ258" s="451" t="s">
        <v>682</v>
      </c>
      <c r="AK258" s="914" t="s">
        <v>683</v>
      </c>
      <c r="AL258" s="891" t="s">
        <v>682</v>
      </c>
      <c r="AM258" s="967" t="s">
        <v>683</v>
      </c>
      <c r="AN258" s="451" t="s">
        <v>682</v>
      </c>
      <c r="AO258" s="914" t="s">
        <v>683</v>
      </c>
      <c r="AP258" s="891" t="s">
        <v>682</v>
      </c>
      <c r="AQ258" s="967" t="s">
        <v>683</v>
      </c>
      <c r="AR258" s="451" t="s">
        <v>682</v>
      </c>
      <c r="AS258" s="914" t="s">
        <v>683</v>
      </c>
      <c r="AT258" s="891" t="s">
        <v>684</v>
      </c>
      <c r="AU258" s="967" t="s">
        <v>683</v>
      </c>
      <c r="AV258" s="451" t="s">
        <v>682</v>
      </c>
      <c r="AW258" s="914" t="s">
        <v>683</v>
      </c>
      <c r="AX258" s="891" t="s">
        <v>682</v>
      </c>
      <c r="AY258" s="451" t="s">
        <v>683</v>
      </c>
    </row>
    <row r="259" spans="1:51" ht="34.5" customHeight="1" thickTop="1" thickBot="1" x14ac:dyDescent="0.3">
      <c r="A259" s="447" t="s">
        <v>333</v>
      </c>
      <c r="B259" s="927">
        <f>'COMPARAC. REAL-PRESUPUESTO (L)'!E46</f>
        <v>3341.58</v>
      </c>
      <c r="C259" s="927">
        <f>'COMPARAC. REAL-PRESUPUESTO (S)'!E43</f>
        <v>397.73</v>
      </c>
      <c r="D259" s="928">
        <f>$B259/$B$244</f>
        <v>1.8626731850213109E-2</v>
      </c>
      <c r="E259" s="929">
        <f>$C259/$C$244</f>
        <v>4.6313547361782484E-3</v>
      </c>
      <c r="F259" s="931">
        <f>'COMPARAC. REAL-PRESUPUESTO (L)'!H46</f>
        <v>3105.14</v>
      </c>
      <c r="G259" s="932">
        <f>'COMPARAC. REAL-PRESUPUESTO (S)'!H43</f>
        <v>0</v>
      </c>
      <c r="H259" s="928">
        <f>$F259/$F$244</f>
        <v>2.1045878081201303E-2</v>
      </c>
      <c r="I259" s="929">
        <f>$G259/$G$244</f>
        <v>0</v>
      </c>
      <c r="J259" s="931">
        <f>'COMPARAC. REAL-PRESUPUESTO (L)'!K46</f>
        <v>3058.61</v>
      </c>
      <c r="K259" s="932">
        <f>'COMPARAC. REAL-PRESUPUESTO (S)'!K43</f>
        <v>112.34</v>
      </c>
      <c r="L259" s="928">
        <f>$J259/$J$244</f>
        <v>1.5301415283735619E-2</v>
      </c>
      <c r="M259" s="929">
        <f>$K259/$K$244</f>
        <v>1.7700562387549669E-3</v>
      </c>
      <c r="N259" s="931">
        <f>'COMPARAC. REAL-PRESUPUESTO (L)'!N46</f>
        <v>3357.12</v>
      </c>
      <c r="O259" s="932">
        <f>'COMPARAC. REAL-PRESUPUESTO (S)'!N43</f>
        <v>335.01</v>
      </c>
      <c r="P259" s="928">
        <f>$N259/$N$244</f>
        <v>2.2896416617225496E-2</v>
      </c>
      <c r="Q259" s="928">
        <f>$O259/$O$244</f>
        <v>3.5935042109785246E-3</v>
      </c>
      <c r="R259" s="931">
        <f>'COMPARAC. REAL-PRESUPUESTO (L)'!Q46</f>
        <v>3056.56</v>
      </c>
      <c r="S259" s="932">
        <f>'COMPARAC. REAL-PRESUPUESTO (S)'!Q43</f>
        <v>35.96</v>
      </c>
      <c r="T259" s="928">
        <f>$R259/$R$244</f>
        <v>1.7407789788875815E-2</v>
      </c>
      <c r="U259" s="928">
        <f>$S259/$S$244</f>
        <v>3.1757161920018939E-4</v>
      </c>
      <c r="V259" s="931">
        <f>'COMPARAC. REAL-PRESUPUESTO (L)'!T46</f>
        <v>3773.33</v>
      </c>
      <c r="W259" s="932">
        <f>'COMPARAC. REAL-PRESUPUESTO (S)'!T43</f>
        <v>0</v>
      </c>
      <c r="X259" s="928">
        <f>$V259/$V$244</f>
        <v>1.6655163999954804E-2</v>
      </c>
      <c r="Y259" s="928">
        <f>$W259/$W$244</f>
        <v>0</v>
      </c>
      <c r="Z259" s="931">
        <f>'COMPARAC. REAL-PRESUPUESTO (L)'!W46</f>
        <v>3260.77</v>
      </c>
      <c r="AA259" s="932">
        <f>'COMPARAC. REAL-PRESUPUESTO (S)'!W43</f>
        <v>0</v>
      </c>
      <c r="AB259" s="928">
        <f>$Z259/$Z$244</f>
        <v>1.4331989023058154E-2</v>
      </c>
      <c r="AC259" s="928">
        <f>$AA259/$AA$244</f>
        <v>0</v>
      </c>
      <c r="AD259" s="931">
        <f>'COMPARAC. REAL-PRESUPUESTO (L)'!Z46</f>
        <v>3047.85</v>
      </c>
      <c r="AE259" s="932">
        <f>'COMPARAC. REAL-PRESUPUESTO (S)'!Z43</f>
        <v>0</v>
      </c>
      <c r="AF259" s="928">
        <f>$AD259/$AD$244</f>
        <v>0.10465899679002476</v>
      </c>
      <c r="AG259" s="928">
        <f>$AE259/$AE$244</f>
        <v>0</v>
      </c>
      <c r="AH259" s="931">
        <f>'COMPARAC. REAL-PRESUPUESTO (L)'!AC46</f>
        <v>3159.62</v>
      </c>
      <c r="AI259" s="932">
        <f>'COMPARAC. REAL-PRESUPUESTO (S)'!AC43</f>
        <v>0</v>
      </c>
      <c r="AJ259" s="928">
        <f>$AH259/$AH$244</f>
        <v>1.4493090001170595E-2</v>
      </c>
      <c r="AK259" s="928">
        <f>$AI259/$AI$244</f>
        <v>0</v>
      </c>
      <c r="AL259" s="931">
        <f>'COMPARAC. REAL-PRESUPUESTO (L)'!AF46</f>
        <v>3251.97</v>
      </c>
      <c r="AM259" s="932">
        <f>'COMPARAC. REAL-PRESUPUESTO (S)'!AF43</f>
        <v>0</v>
      </c>
      <c r="AN259" s="928">
        <f>$AL259/$AL$244</f>
        <v>1.4971278083835511E-2</v>
      </c>
      <c r="AO259" s="928">
        <f>$AM259/$AM$244</f>
        <v>0</v>
      </c>
      <c r="AP259" s="931">
        <f>'COMPARAC. REAL-PRESUPUESTO (L)'!AI46</f>
        <v>3039</v>
      </c>
      <c r="AQ259" s="932">
        <f>'COMPARAC. REAL-PRESUPUESTO (S)'!AI43</f>
        <v>0</v>
      </c>
      <c r="AR259" s="928">
        <f>$AP259/$AP$244</f>
        <v>1.5799498284046594E-2</v>
      </c>
      <c r="AS259" s="928">
        <f>$AQ259/$AQ$244</f>
        <v>0</v>
      </c>
      <c r="AT259" s="931">
        <f>'COMPARAC. REAL-PRESUPUESTO (L)'!AL46</f>
        <v>-1859.23</v>
      </c>
      <c r="AU259" s="932">
        <f>'COMPARAC. REAL-PRESUPUESTO (S)'!AL43</f>
        <v>0</v>
      </c>
      <c r="AV259" s="928">
        <f>$AT259/$AT$244</f>
        <v>-4.8754578207065677E-2</v>
      </c>
      <c r="AW259" s="928">
        <f>$AU259/$AU$244</f>
        <v>0</v>
      </c>
      <c r="AX259" s="931">
        <f t="shared" ref="AX259:AY263" si="89">B259+F259+J259+N259+R259+V259+Z259+AD259+AH259+AL259+AP259+AT259</f>
        <v>33592.32</v>
      </c>
      <c r="AY259" s="990">
        <f t="shared" si="89"/>
        <v>881.04000000000008</v>
      </c>
    </row>
    <row r="260" spans="1:51" ht="36" customHeight="1" thickTop="1" thickBot="1" x14ac:dyDescent="0.3">
      <c r="A260" s="447" t="s">
        <v>335</v>
      </c>
      <c r="B260" s="927">
        <f>'COMPARAC. REAL-PRESUPUESTO (L)'!E49</f>
        <v>0</v>
      </c>
      <c r="C260" s="927">
        <f>'COMPARAC. REAL-PRESUPUESTO (S)'!E46</f>
        <v>0</v>
      </c>
      <c r="D260" s="928">
        <f>$B260/$B$244</f>
        <v>0</v>
      </c>
      <c r="E260" s="929">
        <f t="shared" ref="E260:E263" si="90">$C260/$C$244</f>
        <v>0</v>
      </c>
      <c r="F260" s="931">
        <f>'COMPARAC. REAL-PRESUPUESTO (L)'!H49</f>
        <v>0</v>
      </c>
      <c r="G260" s="932">
        <f>'COMPARAC. REAL-PRESUPUESTO (S)'!H46</f>
        <v>0</v>
      </c>
      <c r="H260" s="928">
        <f>$F260/$F$244</f>
        <v>0</v>
      </c>
      <c r="I260" s="929">
        <f t="shared" ref="I260:I263" si="91">$G260/$G$244</f>
        <v>0</v>
      </c>
      <c r="J260" s="931">
        <f>'COMPARAC. REAL-PRESUPUESTO (L)'!K49</f>
        <v>305.18</v>
      </c>
      <c r="K260" s="932">
        <f>'COMPARAC. REAL-PRESUPUESTO (S)'!K46</f>
        <v>0</v>
      </c>
      <c r="L260" s="928">
        <f t="shared" ref="L260:L263" si="92">$J260/$J$244</f>
        <v>1.5267346658418158E-3</v>
      </c>
      <c r="M260" s="929">
        <f t="shared" ref="M260:M263" si="93">$K260/$K$244</f>
        <v>0</v>
      </c>
      <c r="N260" s="931">
        <f>'COMPARAC. REAL-PRESUPUESTO (L)'!N49</f>
        <v>0</v>
      </c>
      <c r="O260" s="932">
        <f>'COMPARAC. REAL-PRESUPUESTO (S)'!N46</f>
        <v>0</v>
      </c>
      <c r="P260" s="928">
        <f>$N260/$N$244</f>
        <v>0</v>
      </c>
      <c r="Q260" s="928">
        <f>$O260/$O$244</f>
        <v>0</v>
      </c>
      <c r="R260" s="931">
        <f>'COMPARAC. REAL-PRESUPUESTO (L)'!Q49</f>
        <v>250</v>
      </c>
      <c r="S260" s="932">
        <f>'COMPARAC. REAL-PRESUPUESTO (S)'!Q46</f>
        <v>250</v>
      </c>
      <c r="T260" s="928">
        <f>$R260/$R$244</f>
        <v>1.423805666245372E-3</v>
      </c>
      <c r="U260" s="928">
        <f>$S260/$S$244</f>
        <v>2.2078115906576014E-3</v>
      </c>
      <c r="V260" s="931">
        <f>'COMPARAC. REAL-PRESUPUESTO (L)'!T49</f>
        <v>0</v>
      </c>
      <c r="W260" s="932">
        <f>'COMPARAC. REAL-PRESUPUESTO (S)'!T46</f>
        <v>0</v>
      </c>
      <c r="X260" s="928">
        <f>$V260/$V$244</f>
        <v>0</v>
      </c>
      <c r="Y260" s="928">
        <f>$W260/$W$244</f>
        <v>0</v>
      </c>
      <c r="Z260" s="931">
        <f>'COMPARAC. REAL-PRESUPUESTO (L)'!W49</f>
        <v>0</v>
      </c>
      <c r="AA260" s="932">
        <f>'COMPARAC. REAL-PRESUPUESTO (S)'!W46</f>
        <v>0</v>
      </c>
      <c r="AB260" s="928">
        <f t="shared" ref="AB260:AB263" si="94">$Z260/$Z$244</f>
        <v>0</v>
      </c>
      <c r="AC260" s="928">
        <f t="shared" ref="AC260:AC263" si="95">$AA260/$AA$244</f>
        <v>0</v>
      </c>
      <c r="AD260" s="931">
        <f>'COMPARAC. REAL-PRESUPUESTO (L)'!Z49</f>
        <v>0</v>
      </c>
      <c r="AE260" s="932">
        <f>'COMPARAC. REAL-PRESUPUESTO (S)'!Z46</f>
        <v>0</v>
      </c>
      <c r="AF260" s="928">
        <f t="shared" ref="AF260:AF263" si="96">$AD260/$AD$244</f>
        <v>0</v>
      </c>
      <c r="AG260" s="928">
        <f t="shared" ref="AG260:AG263" si="97">$AE260/$AE$244</f>
        <v>0</v>
      </c>
      <c r="AH260" s="931">
        <f>'COMPARAC. REAL-PRESUPUESTO (L)'!AC49</f>
        <v>0</v>
      </c>
      <c r="AI260" s="932">
        <f>'COMPARAC. REAL-PRESUPUESTO (S)'!AC46</f>
        <v>0</v>
      </c>
      <c r="AJ260" s="928">
        <f t="shared" ref="AJ260:AJ263" si="98">$AH260/$AH$244</f>
        <v>0</v>
      </c>
      <c r="AK260" s="928">
        <f t="shared" ref="AK260:AK263" si="99">$AI260/$AI$244</f>
        <v>0</v>
      </c>
      <c r="AL260" s="931">
        <f>'COMPARAC. REAL-PRESUPUESTO (L)'!AF49</f>
        <v>0.01</v>
      </c>
      <c r="AM260" s="932">
        <f>'COMPARAC. REAL-PRESUPUESTO (S)'!AF46</f>
        <v>0</v>
      </c>
      <c r="AN260" s="928">
        <f t="shared" ref="AN260:AN263" si="100">$AL260/$AL$244</f>
        <v>4.6037565179984789E-8</v>
      </c>
      <c r="AO260" s="928">
        <f t="shared" ref="AO260:AO263" si="101">$AM260/$AM$244</f>
        <v>0</v>
      </c>
      <c r="AP260" s="931">
        <f>'COMPARAC. REAL-PRESUPUESTO (L)'!AI49</f>
        <v>0</v>
      </c>
      <c r="AQ260" s="932">
        <f>'COMPARAC. REAL-PRESUPUESTO (S)'!AI46</f>
        <v>0</v>
      </c>
      <c r="AR260" s="928">
        <f t="shared" ref="AR260:AR263" si="102">$AP260/$AP$244</f>
        <v>0</v>
      </c>
      <c r="AS260" s="928">
        <f t="shared" ref="AS260:AS263" si="103">$AQ260/$AQ$244</f>
        <v>0</v>
      </c>
      <c r="AT260" s="931">
        <f>'COMPARAC. REAL-PRESUPUESTO (L)'!AL49</f>
        <v>68.87</v>
      </c>
      <c r="AU260" s="932">
        <f>'COMPARAC. REAL-PRESUPUESTO (S)'!AL46</f>
        <v>0</v>
      </c>
      <c r="AV260" s="928">
        <f t="shared" ref="AV260:AV263" si="104">$AT260/$AT$244</f>
        <v>1.805977636505765E-3</v>
      </c>
      <c r="AW260" s="928">
        <f t="shared" ref="AW260:AW263" si="105">$AU260/$AU$244</f>
        <v>0</v>
      </c>
      <c r="AX260" s="931">
        <f t="shared" si="89"/>
        <v>624.06000000000006</v>
      </c>
      <c r="AY260" s="990">
        <f t="shared" si="89"/>
        <v>250</v>
      </c>
    </row>
    <row r="261" spans="1:51" ht="38.25" customHeight="1" thickTop="1" thickBot="1" x14ac:dyDescent="0.3">
      <c r="A261" s="447" t="s">
        <v>334</v>
      </c>
      <c r="B261" s="927">
        <f>'COMPARAC. REAL-PRESUPUESTO (L)'!E44</f>
        <v>562.46</v>
      </c>
      <c r="C261" s="927">
        <f>'COMPARAC. REAL-PRESUPUESTO (S)'!E41</f>
        <v>0</v>
      </c>
      <c r="D261" s="928">
        <f>$B261/$B$244</f>
        <v>3.13528079425627E-3</v>
      </c>
      <c r="E261" s="929">
        <f t="shared" si="90"/>
        <v>0</v>
      </c>
      <c r="F261" s="931">
        <f>'COMPARAC. REAL-PRESUPUESTO (L)'!H44</f>
        <v>344.99</v>
      </c>
      <c r="G261" s="932">
        <f>'COMPARAC. REAL-PRESUPUESTO (S)'!H41</f>
        <v>0</v>
      </c>
      <c r="H261" s="928">
        <f>$F261/$F$244</f>
        <v>2.3382576886174658E-3</v>
      </c>
      <c r="I261" s="929">
        <f t="shared" si="91"/>
        <v>0</v>
      </c>
      <c r="J261" s="931">
        <f>'COMPARAC. REAL-PRESUPUESTO (L)'!K44</f>
        <v>38.57</v>
      </c>
      <c r="K261" s="932">
        <f>'COMPARAC. REAL-PRESUPUESTO (S)'!K41</f>
        <v>0</v>
      </c>
      <c r="L261" s="928">
        <f t="shared" si="92"/>
        <v>1.9295548876570822E-4</v>
      </c>
      <c r="M261" s="929">
        <f t="shared" si="93"/>
        <v>0</v>
      </c>
      <c r="N261" s="931">
        <f>'COMPARAC. REAL-PRESUPUESTO (L)'!N44</f>
        <v>73.010000000000005</v>
      </c>
      <c r="O261" s="932">
        <f>'COMPARAC. REAL-PRESUPUESTO (S)'!N41</f>
        <v>0</v>
      </c>
      <c r="P261" s="928">
        <f>$N261/$N$244</f>
        <v>4.9794686434313741E-4</v>
      </c>
      <c r="Q261" s="928">
        <f>$O261/$O$244</f>
        <v>0</v>
      </c>
      <c r="R261" s="931">
        <f>'COMPARAC. REAL-PRESUPUESTO (L)'!Q44</f>
        <v>36.729999999999997</v>
      </c>
      <c r="S261" s="932">
        <f>'COMPARAC. REAL-PRESUPUESTO (S)'!Q41</f>
        <v>0</v>
      </c>
      <c r="T261" s="928">
        <f>$R261/$R$244</f>
        <v>2.0918552848477002E-4</v>
      </c>
      <c r="U261" s="928">
        <f>$S261/$S$244</f>
        <v>0</v>
      </c>
      <c r="V261" s="931">
        <f>'COMPARAC. REAL-PRESUPUESTO (L)'!T44</f>
        <v>25.07</v>
      </c>
      <c r="W261" s="932">
        <f>'COMPARAC. REAL-PRESUPUESTO (S)'!T41</f>
        <v>0</v>
      </c>
      <c r="X261" s="928">
        <f>$V261/$V$244</f>
        <v>1.1065688966479659E-4</v>
      </c>
      <c r="Y261" s="928">
        <f>$W261/$W$244</f>
        <v>0</v>
      </c>
      <c r="Z261" s="931">
        <f>'COMPARAC. REAL-PRESUPUESTO (L)'!W44</f>
        <v>1.31</v>
      </c>
      <c r="AA261" s="932">
        <f>'COMPARAC. REAL-PRESUPUESTO (S)'!W41</f>
        <v>0</v>
      </c>
      <c r="AB261" s="928">
        <f t="shared" si="94"/>
        <v>5.7578135287696414E-6</v>
      </c>
      <c r="AC261" s="928">
        <f t="shared" si="95"/>
        <v>0</v>
      </c>
      <c r="AD261" s="931">
        <f>'COMPARAC. REAL-PRESUPUESTO (L)'!Z44</f>
        <v>5273.69</v>
      </c>
      <c r="AE261" s="932">
        <f>'COMPARAC. REAL-PRESUPUESTO (S)'!Z41</f>
        <v>0</v>
      </c>
      <c r="AF261" s="928">
        <f t="shared" si="96"/>
        <v>0.18109129543172586</v>
      </c>
      <c r="AG261" s="928">
        <f t="shared" si="97"/>
        <v>0</v>
      </c>
      <c r="AH261" s="931">
        <f>'COMPARAC. REAL-PRESUPUESTO (L)'!AC44</f>
        <v>0</v>
      </c>
      <c r="AI261" s="932">
        <f>'COMPARAC. REAL-PRESUPUESTO (S)'!AC41</f>
        <v>0</v>
      </c>
      <c r="AJ261" s="928">
        <f t="shared" si="98"/>
        <v>0</v>
      </c>
      <c r="AK261" s="928">
        <f t="shared" si="99"/>
        <v>0</v>
      </c>
      <c r="AL261" s="931">
        <f>'COMPARAC. REAL-PRESUPUESTO (L)'!AF44</f>
        <v>0</v>
      </c>
      <c r="AM261" s="932">
        <f>'COMPARAC. REAL-PRESUPUESTO (S)'!AF41</f>
        <v>0</v>
      </c>
      <c r="AN261" s="928">
        <f t="shared" si="100"/>
        <v>0</v>
      </c>
      <c r="AO261" s="928">
        <f t="shared" si="101"/>
        <v>0</v>
      </c>
      <c r="AP261" s="931">
        <f>'COMPARAC. REAL-PRESUPUESTO (L)'!AI44</f>
        <v>0</v>
      </c>
      <c r="AQ261" s="932">
        <f>'COMPARAC. REAL-PRESUPUESTO (S)'!AI41</f>
        <v>0</v>
      </c>
      <c r="AR261" s="928">
        <f t="shared" si="102"/>
        <v>0</v>
      </c>
      <c r="AS261" s="928">
        <f t="shared" si="103"/>
        <v>0</v>
      </c>
      <c r="AT261" s="931">
        <f>'COMPARAC. REAL-PRESUPUESTO (L)'!AL44</f>
        <v>256.31</v>
      </c>
      <c r="AU261" s="932">
        <f>'COMPARAC. REAL-PRESUPUESTO (S)'!AL41</f>
        <v>0</v>
      </c>
      <c r="AV261" s="928">
        <f t="shared" si="104"/>
        <v>6.7212157399853725E-3</v>
      </c>
      <c r="AW261" s="928">
        <f t="shared" si="105"/>
        <v>0</v>
      </c>
      <c r="AX261" s="931">
        <f t="shared" si="89"/>
        <v>6612.14</v>
      </c>
      <c r="AY261" s="990">
        <f t="shared" si="89"/>
        <v>0</v>
      </c>
    </row>
    <row r="262" spans="1:51" ht="37.5" customHeight="1" thickTop="1" thickBot="1" x14ac:dyDescent="0.3">
      <c r="A262" s="448" t="s">
        <v>336</v>
      </c>
      <c r="B262" s="927">
        <f>B261-(B259+B260)</f>
        <v>-2779.12</v>
      </c>
      <c r="C262" s="927">
        <f>C261-(C259+C260)</f>
        <v>-397.73</v>
      </c>
      <c r="D262" s="928">
        <f>$B262/$B$244</f>
        <v>-1.549145105595684E-2</v>
      </c>
      <c r="E262" s="929">
        <f t="shared" si="90"/>
        <v>-4.6313547361782484E-3</v>
      </c>
      <c r="F262" s="931">
        <f>F261-(F259+F260)</f>
        <v>-2760.1499999999996</v>
      </c>
      <c r="G262" s="932">
        <f>G261-(G259+G260)</f>
        <v>0</v>
      </c>
      <c r="H262" s="928">
        <f>$F262/$F$244</f>
        <v>-1.8707620392583835E-2</v>
      </c>
      <c r="I262" s="929">
        <f t="shared" si="91"/>
        <v>0</v>
      </c>
      <c r="J262" s="931">
        <f>J261-(J259+J260)</f>
        <v>-3325.22</v>
      </c>
      <c r="K262" s="932">
        <f>K261-(K259+K260)</f>
        <v>-112.34</v>
      </c>
      <c r="L262" s="928">
        <f t="shared" si="92"/>
        <v>-1.6635194460811725E-2</v>
      </c>
      <c r="M262" s="929">
        <f t="shared" si="93"/>
        <v>-1.7700562387549669E-3</v>
      </c>
      <c r="N262" s="931">
        <f>N261-(N259+N260)</f>
        <v>-3284.1099999999997</v>
      </c>
      <c r="O262" s="932">
        <f>O261-(O259+O260)</f>
        <v>-335.01</v>
      </c>
      <c r="P262" s="928">
        <f>$N262/$N$244</f>
        <v>-2.2398469752882354E-2</v>
      </c>
      <c r="Q262" s="928">
        <f>$O262/$O$244</f>
        <v>-3.5935042109785246E-3</v>
      </c>
      <c r="R262" s="931">
        <f>R261-(R259+R260)</f>
        <v>-3269.83</v>
      </c>
      <c r="S262" s="932">
        <f>S261-(S259+S260)</f>
        <v>-285.95999999999998</v>
      </c>
      <c r="T262" s="928">
        <f>$R262/$R$244</f>
        <v>-1.862240992663642E-2</v>
      </c>
      <c r="U262" s="928">
        <f>$S262/$S$244</f>
        <v>-2.5253832098577904E-3</v>
      </c>
      <c r="V262" s="931">
        <f>V261-(V259+V260)</f>
        <v>-3748.2599999999998</v>
      </c>
      <c r="W262" s="932">
        <f>W261-(W259+W260)</f>
        <v>0</v>
      </c>
      <c r="X262" s="928">
        <f>$V262/$V$244</f>
        <v>-1.6544507110290006E-2</v>
      </c>
      <c r="Y262" s="928">
        <f>$W262/$W$244</f>
        <v>0</v>
      </c>
      <c r="Z262" s="931">
        <f>Z261-(Z259+Z260)</f>
        <v>-3259.46</v>
      </c>
      <c r="AA262" s="990">
        <f>AA261-(AA259+AA260)</f>
        <v>0</v>
      </c>
      <c r="AB262" s="928">
        <f t="shared" si="94"/>
        <v>-1.4326231209529385E-2</v>
      </c>
      <c r="AC262" s="928">
        <f t="shared" si="95"/>
        <v>0</v>
      </c>
      <c r="AD262" s="931">
        <f>AD261-(AD259+AD260)</f>
        <v>2225.8399999999997</v>
      </c>
      <c r="AE262" s="990">
        <f>AE261-(AE259+AE260)</f>
        <v>0</v>
      </c>
      <c r="AF262" s="928">
        <f t="shared" si="96"/>
        <v>7.6432298641701091E-2</v>
      </c>
      <c r="AG262" s="928">
        <f t="shared" si="97"/>
        <v>0</v>
      </c>
      <c r="AH262" s="931">
        <f>AH261-(AH259+AH260)</f>
        <v>-3159.62</v>
      </c>
      <c r="AI262" s="990">
        <f>AI261-(AI259+AI260)</f>
        <v>0</v>
      </c>
      <c r="AJ262" s="928">
        <f t="shared" si="98"/>
        <v>-1.4493090001170595E-2</v>
      </c>
      <c r="AK262" s="928">
        <f t="shared" si="99"/>
        <v>0</v>
      </c>
      <c r="AL262" s="931">
        <f>AL261-(AL259+AL260)</f>
        <v>-3251.98</v>
      </c>
      <c r="AM262" s="990">
        <f>AM261-(AM259+AM260)</f>
        <v>0</v>
      </c>
      <c r="AN262" s="928">
        <f t="shared" si="100"/>
        <v>-1.4971324121400693E-2</v>
      </c>
      <c r="AO262" s="928">
        <f t="shared" si="101"/>
        <v>0</v>
      </c>
      <c r="AP262" s="931">
        <f>AP261-(AP259+AP260)</f>
        <v>-3039</v>
      </c>
      <c r="AQ262" s="990">
        <f>AQ261-(AQ259+AQ260)</f>
        <v>0</v>
      </c>
      <c r="AR262" s="928">
        <f t="shared" si="102"/>
        <v>-1.5799498284046594E-2</v>
      </c>
      <c r="AS262" s="928">
        <f t="shared" si="103"/>
        <v>0</v>
      </c>
      <c r="AT262" s="931">
        <f>AT261-(AT259+AT260)</f>
        <v>2046.67</v>
      </c>
      <c r="AU262" s="990">
        <f>AU261-(AU259+AU260)</f>
        <v>0</v>
      </c>
      <c r="AV262" s="928">
        <f t="shared" si="104"/>
        <v>5.3669816310545286E-2</v>
      </c>
      <c r="AW262" s="928">
        <f t="shared" si="105"/>
        <v>0</v>
      </c>
      <c r="AX262" s="931">
        <f t="shared" si="89"/>
        <v>-27604.239999999998</v>
      </c>
      <c r="AY262" s="990">
        <f t="shared" si="89"/>
        <v>-1131.04</v>
      </c>
    </row>
    <row r="263" spans="1:51" ht="42" customHeight="1" thickTop="1" thickBot="1" x14ac:dyDescent="0.3">
      <c r="A263" s="449" t="s">
        <v>283</v>
      </c>
      <c r="B263" s="930">
        <f>C5</f>
        <v>60723.23</v>
      </c>
      <c r="C263" s="930">
        <f>D5</f>
        <v>1012.2199999999898</v>
      </c>
      <c r="D263" s="928">
        <f>$B263/$B$244</f>
        <v>0.33848518434058628</v>
      </c>
      <c r="E263" s="929">
        <f t="shared" si="90"/>
        <v>1.1786764616836294E-2</v>
      </c>
      <c r="F263" s="933">
        <f>E5</f>
        <v>5748.0199999999859</v>
      </c>
      <c r="G263" s="934">
        <f>F5</f>
        <v>33626.650000000016</v>
      </c>
      <c r="H263" s="928">
        <f>$F263/$F$244</f>
        <v>3.8958671147937426E-2</v>
      </c>
      <c r="I263" s="929">
        <f t="shared" si="91"/>
        <v>0.27663698329523689</v>
      </c>
      <c r="J263" s="933">
        <f>G5</f>
        <v>70268.270000000019</v>
      </c>
      <c r="K263" s="934">
        <f>H5</f>
        <v>-19229.38</v>
      </c>
      <c r="L263" s="928">
        <f t="shared" si="92"/>
        <v>0.35153353338270044</v>
      </c>
      <c r="M263" s="929">
        <f t="shared" si="93"/>
        <v>-0.30298276692531589</v>
      </c>
      <c r="N263" s="933">
        <f>I5</f>
        <v>-3593.0200000000086</v>
      </c>
      <c r="O263" s="934">
        <f>J5</f>
        <v>17381.970000000005</v>
      </c>
      <c r="P263" s="928">
        <f>$N263/$N$244</f>
        <v>-2.4505314922917187E-2</v>
      </c>
      <c r="Q263" s="928">
        <f>$O263/$O$244</f>
        <v>0.18644871015821141</v>
      </c>
      <c r="R263" s="933">
        <f>K5</f>
        <v>37184.769999999968</v>
      </c>
      <c r="S263" s="934">
        <f>L5</f>
        <v>18306.719999999979</v>
      </c>
      <c r="T263" s="928">
        <f>$R263/$R$244</f>
        <v>0.21177554489612349</v>
      </c>
      <c r="U263" s="928">
        <f>$S263/$S$244</f>
        <v>0.16167115441169311</v>
      </c>
      <c r="V263" s="933">
        <f>M5</f>
        <v>92431.730000000025</v>
      </c>
      <c r="W263" s="934">
        <f>N5</f>
        <v>-20863.039999999997</v>
      </c>
      <c r="X263" s="928">
        <f>$V263/$V$244</f>
        <v>0.40798594926750187</v>
      </c>
      <c r="Y263" s="928">
        <f>$W263/$W$244</f>
        <v>-0.16402302591752244</v>
      </c>
      <c r="Z263" s="974">
        <f>O5</f>
        <v>53142.069999999992</v>
      </c>
      <c r="AA263" s="934">
        <f>P5</f>
        <v>-32759.87</v>
      </c>
      <c r="AB263" s="928">
        <f t="shared" si="94"/>
        <v>0.23357414472734597</v>
      </c>
      <c r="AC263" s="928">
        <f t="shared" si="95"/>
        <v>-2.8690881048956781E-2</v>
      </c>
      <c r="AD263" s="933">
        <f>Q5</f>
        <v>-20804.529999999995</v>
      </c>
      <c r="AE263" s="934">
        <f>R5</f>
        <v>-13051.13</v>
      </c>
      <c r="AF263" s="928">
        <f t="shared" si="96"/>
        <v>-0.71439908082352255</v>
      </c>
      <c r="AG263" s="928">
        <f t="shared" si="97"/>
        <v>-4.2229013512114317</v>
      </c>
      <c r="AH263" s="933">
        <f>S5</f>
        <v>72494.370000000024</v>
      </c>
      <c r="AI263" s="934">
        <f>T5</f>
        <v>-17430.36</v>
      </c>
      <c r="AJ263" s="928">
        <f t="shared" si="98"/>
        <v>0.33252968046415771</v>
      </c>
      <c r="AK263" s="928">
        <f t="shared" si="99"/>
        <v>-0.11776838187625953</v>
      </c>
      <c r="AL263" s="933">
        <f>U5</f>
        <v>72960.130000000019</v>
      </c>
      <c r="AM263" s="934">
        <f>V5</f>
        <v>-20007.990000000002</v>
      </c>
      <c r="AN263" s="928">
        <f t="shared" si="100"/>
        <v>0.3358906740415164</v>
      </c>
      <c r="AO263" s="928">
        <f t="shared" si="101"/>
        <v>-0.13131946527852664</v>
      </c>
      <c r="AP263" s="933">
        <f>W5</f>
        <v>798.35000000002947</v>
      </c>
      <c r="AQ263" s="934">
        <f>X5</f>
        <v>-13754.3</v>
      </c>
      <c r="AR263" s="928">
        <f t="shared" si="102"/>
        <v>4.1505526341128864E-3</v>
      </c>
      <c r="AS263" s="928">
        <f t="shared" si="103"/>
        <v>-9.6535636587541759E-2</v>
      </c>
      <c r="AT263" s="933">
        <f>Y5</f>
        <v>12600.690000000015</v>
      </c>
      <c r="AU263" s="934">
        <f>Z5</f>
        <v>45163.090000000004</v>
      </c>
      <c r="AV263" s="928">
        <f t="shared" si="104"/>
        <v>0.33042782553422179</v>
      </c>
      <c r="AW263" s="928">
        <f t="shared" si="105"/>
        <v>0.46083906358113375</v>
      </c>
      <c r="AX263" s="933">
        <f t="shared" si="89"/>
        <v>453954.08000000007</v>
      </c>
      <c r="AY263" s="991">
        <f t="shared" si="89"/>
        <v>-21605.420000000006</v>
      </c>
    </row>
    <row r="264" spans="1:51" ht="15.75" thickTop="1" x14ac:dyDescent="0.25"/>
  </sheetData>
  <mergeCells count="595">
    <mergeCell ref="A109:B109"/>
    <mergeCell ref="A126:B126"/>
    <mergeCell ref="A139:B139"/>
    <mergeCell ref="A141:B141"/>
    <mergeCell ref="A142:B142"/>
    <mergeCell ref="A38:A42"/>
    <mergeCell ref="AX257:AY257"/>
    <mergeCell ref="AT237:AU237"/>
    <mergeCell ref="AV237:AW237"/>
    <mergeCell ref="AT246:AU246"/>
    <mergeCell ref="AV246:AW246"/>
    <mergeCell ref="AT253:AU253"/>
    <mergeCell ref="AV253:AW253"/>
    <mergeCell ref="AT254:AU254"/>
    <mergeCell ref="AV254:AW254"/>
    <mergeCell ref="AT257:AU257"/>
    <mergeCell ref="AV257:AW257"/>
    <mergeCell ref="AP257:AQ257"/>
    <mergeCell ref="AR257:AS257"/>
    <mergeCell ref="AL237:AM237"/>
    <mergeCell ref="AN237:AO237"/>
    <mergeCell ref="AL246:AM246"/>
    <mergeCell ref="AN246:AO246"/>
    <mergeCell ref="AL253:AM253"/>
    <mergeCell ref="AN253:AO253"/>
    <mergeCell ref="AL254:AM254"/>
    <mergeCell ref="AN254:AO254"/>
    <mergeCell ref="AL257:AM257"/>
    <mergeCell ref="AN257:AO257"/>
    <mergeCell ref="AP237:AQ237"/>
    <mergeCell ref="AR237:AS237"/>
    <mergeCell ref="AP246:AQ246"/>
    <mergeCell ref="AR246:AS246"/>
    <mergeCell ref="AP253:AQ253"/>
    <mergeCell ref="AR253:AS253"/>
    <mergeCell ref="AP254:AQ254"/>
    <mergeCell ref="AR254:AS254"/>
    <mergeCell ref="AH253:AI253"/>
    <mergeCell ref="AH254:AI254"/>
    <mergeCell ref="AH257:AI257"/>
    <mergeCell ref="AD234:AG234"/>
    <mergeCell ref="AD235:AG235"/>
    <mergeCell ref="AD237:AE237"/>
    <mergeCell ref="AJ217:AK217"/>
    <mergeCell ref="AJ226:AK226"/>
    <mergeCell ref="AJ228:AK228"/>
    <mergeCell ref="AJ229:AK229"/>
    <mergeCell ref="AJ230:AK230"/>
    <mergeCell ref="AJ231:AK231"/>
    <mergeCell ref="AJ232:AK232"/>
    <mergeCell ref="AJ233:AK233"/>
    <mergeCell ref="AH234:AK234"/>
    <mergeCell ref="AH235:AK235"/>
    <mergeCell ref="AJ237:AK237"/>
    <mergeCell ref="AJ246:AK246"/>
    <mergeCell ref="AJ253:AK253"/>
    <mergeCell ref="AJ254:AK254"/>
    <mergeCell ref="AJ257:AK257"/>
    <mergeCell ref="AH217:AI217"/>
    <mergeCell ref="AH226:AI226"/>
    <mergeCell ref="AH228:AI228"/>
    <mergeCell ref="AH229:AI229"/>
    <mergeCell ref="AH230:AI230"/>
    <mergeCell ref="AH231:AI231"/>
    <mergeCell ref="AH232:AI232"/>
    <mergeCell ref="AH233:AI233"/>
    <mergeCell ref="AH237:AI237"/>
    <mergeCell ref="AF237:AG237"/>
    <mergeCell ref="AD246:AE246"/>
    <mergeCell ref="AF246:AG246"/>
    <mergeCell ref="AD230:AE230"/>
    <mergeCell ref="AF230:AG230"/>
    <mergeCell ref="AD231:AE231"/>
    <mergeCell ref="AF231:AG231"/>
    <mergeCell ref="AD232:AE232"/>
    <mergeCell ref="AF232:AG232"/>
    <mergeCell ref="AD233:AE233"/>
    <mergeCell ref="AF233:AG233"/>
    <mergeCell ref="AH246:AI246"/>
    <mergeCell ref="AD253:AE253"/>
    <mergeCell ref="AF253:AG253"/>
    <mergeCell ref="AD254:AE254"/>
    <mergeCell ref="AF254:AG254"/>
    <mergeCell ref="Z257:AA257"/>
    <mergeCell ref="AB257:AC257"/>
    <mergeCell ref="Z254:AA254"/>
    <mergeCell ref="AB254:AC254"/>
    <mergeCell ref="AD257:AE257"/>
    <mergeCell ref="AF257:AG257"/>
    <mergeCell ref="Z253:AA253"/>
    <mergeCell ref="AB253:AC253"/>
    <mergeCell ref="AA65:AB65"/>
    <mergeCell ref="AA77:AB77"/>
    <mergeCell ref="AA156:AB156"/>
    <mergeCell ref="Z217:AA217"/>
    <mergeCell ref="AB217:AC217"/>
    <mergeCell ref="Z226:AA226"/>
    <mergeCell ref="Y58:Z58"/>
    <mergeCell ref="AB226:AC226"/>
    <mergeCell ref="X224:Y224"/>
    <mergeCell ref="AC154:AD154"/>
    <mergeCell ref="AC153:AD153"/>
    <mergeCell ref="AD217:AE217"/>
    <mergeCell ref="Y156:Z156"/>
    <mergeCell ref="AD226:AE226"/>
    <mergeCell ref="AF217:AG217"/>
    <mergeCell ref="H228:I228"/>
    <mergeCell ref="H229:I229"/>
    <mergeCell ref="N217:O217"/>
    <mergeCell ref="P217:Q217"/>
    <mergeCell ref="N219:O219"/>
    <mergeCell ref="P219:Q219"/>
    <mergeCell ref="N220:O220"/>
    <mergeCell ref="P220:Q220"/>
    <mergeCell ref="N221:O221"/>
    <mergeCell ref="P221:Q221"/>
    <mergeCell ref="N222:O222"/>
    <mergeCell ref="P222:Q222"/>
    <mergeCell ref="N223:O223"/>
    <mergeCell ref="P223:Q223"/>
    <mergeCell ref="N224:O224"/>
    <mergeCell ref="P224:Q224"/>
    <mergeCell ref="R228:S228"/>
    <mergeCell ref="T228:U228"/>
    <mergeCell ref="X222:Y222"/>
    <mergeCell ref="V223:W223"/>
    <mergeCell ref="X223:Y223"/>
    <mergeCell ref="V224:W224"/>
    <mergeCell ref="T217:U217"/>
    <mergeCell ref="AF226:AG226"/>
    <mergeCell ref="AD228:AE228"/>
    <mergeCell ref="AF228:AG228"/>
    <mergeCell ref="AD229:AE229"/>
    <mergeCell ref="AF229:AG229"/>
    <mergeCell ref="V226:W226"/>
    <mergeCell ref="X226:Y226"/>
    <mergeCell ref="V228:W228"/>
    <mergeCell ref="X228:Y228"/>
    <mergeCell ref="AB237:AC237"/>
    <mergeCell ref="Z246:AA246"/>
    <mergeCell ref="AB246:AC246"/>
    <mergeCell ref="B232:C232"/>
    <mergeCell ref="B233:C233"/>
    <mergeCell ref="T233:U233"/>
    <mergeCell ref="R234:U234"/>
    <mergeCell ref="R235:U235"/>
    <mergeCell ref="Z234:AA234"/>
    <mergeCell ref="AB234:AC234"/>
    <mergeCell ref="Z235:AA235"/>
    <mergeCell ref="AB235:AC235"/>
    <mergeCell ref="X237:Y237"/>
    <mergeCell ref="V246:W246"/>
    <mergeCell ref="X246:Y246"/>
    <mergeCell ref="V233:W233"/>
    <mergeCell ref="X233:Y233"/>
    <mergeCell ref="V234:Y234"/>
    <mergeCell ref="H232:I232"/>
    <mergeCell ref="H233:I233"/>
    <mergeCell ref="T232:U232"/>
    <mergeCell ref="R232:S232"/>
    <mergeCell ref="N232:O232"/>
    <mergeCell ref="P232:Q232"/>
    <mergeCell ref="B226:C226"/>
    <mergeCell ref="B228:C228"/>
    <mergeCell ref="B229:C229"/>
    <mergeCell ref="B230:C230"/>
    <mergeCell ref="B231:C231"/>
    <mergeCell ref="F237:G237"/>
    <mergeCell ref="F246:G246"/>
    <mergeCell ref="V235:Y235"/>
    <mergeCell ref="Z237:AA237"/>
    <mergeCell ref="N230:O230"/>
    <mergeCell ref="P230:Q230"/>
    <mergeCell ref="R230:S230"/>
    <mergeCell ref="T230:U230"/>
    <mergeCell ref="V230:W230"/>
    <mergeCell ref="N231:O231"/>
    <mergeCell ref="P231:Q231"/>
    <mergeCell ref="X230:Y230"/>
    <mergeCell ref="V231:W231"/>
    <mergeCell ref="X231:Y231"/>
    <mergeCell ref="V232:W232"/>
    <mergeCell ref="X232:Y232"/>
    <mergeCell ref="H226:I226"/>
    <mergeCell ref="D222:E222"/>
    <mergeCell ref="D223:E223"/>
    <mergeCell ref="D224:E224"/>
    <mergeCell ref="D220:E220"/>
    <mergeCell ref="A149:B149"/>
    <mergeCell ref="A150:B150"/>
    <mergeCell ref="A151:B151"/>
    <mergeCell ref="A152:B152"/>
    <mergeCell ref="C165:D165"/>
    <mergeCell ref="B165:B166"/>
    <mergeCell ref="A163:A166"/>
    <mergeCell ref="B220:C220"/>
    <mergeCell ref="B221:C221"/>
    <mergeCell ref="B222:C222"/>
    <mergeCell ref="B223:C223"/>
    <mergeCell ref="B224:C224"/>
    <mergeCell ref="B217:C217"/>
    <mergeCell ref="B219:C219"/>
    <mergeCell ref="D217:E217"/>
    <mergeCell ref="D219:E219"/>
    <mergeCell ref="A153:B153"/>
    <mergeCell ref="A161:B161"/>
    <mergeCell ref="E156:F156"/>
    <mergeCell ref="E165:F165"/>
    <mergeCell ref="B3:B6"/>
    <mergeCell ref="A102:B102"/>
    <mergeCell ref="A103:B103"/>
    <mergeCell ref="A110:B110"/>
    <mergeCell ref="A117:B117"/>
    <mergeCell ref="A119:B119"/>
    <mergeCell ref="A120:B120"/>
    <mergeCell ref="A101:B101"/>
    <mergeCell ref="A83:B83"/>
    <mergeCell ref="A84:B84"/>
    <mergeCell ref="A85:B85"/>
    <mergeCell ref="A81:B81"/>
    <mergeCell ref="A82:B82"/>
    <mergeCell ref="A7:A8"/>
    <mergeCell ref="A36:A37"/>
    <mergeCell ref="A27:A29"/>
    <mergeCell ref="A111:B111"/>
    <mergeCell ref="A118:B118"/>
    <mergeCell ref="A115:B115"/>
    <mergeCell ref="A9:A10"/>
    <mergeCell ref="B11:B26"/>
    <mergeCell ref="B44:B57"/>
    <mergeCell ref="A94:B94"/>
    <mergeCell ref="A105:B105"/>
    <mergeCell ref="A185:A186"/>
    <mergeCell ref="A189:A190"/>
    <mergeCell ref="A193:A194"/>
    <mergeCell ref="A171:A172"/>
    <mergeCell ref="A175:A176"/>
    <mergeCell ref="A98:B98"/>
    <mergeCell ref="A121:B121"/>
    <mergeCell ref="A122:B122"/>
    <mergeCell ref="A88:B88"/>
    <mergeCell ref="A89:B89"/>
    <mergeCell ref="A93:B93"/>
    <mergeCell ref="A96:B96"/>
    <mergeCell ref="A123:B123"/>
    <mergeCell ref="A116:B116"/>
    <mergeCell ref="A95:B95"/>
    <mergeCell ref="A114:B114"/>
    <mergeCell ref="A107:B107"/>
    <mergeCell ref="A108:B108"/>
    <mergeCell ref="B163:I163"/>
    <mergeCell ref="C156:D156"/>
    <mergeCell ref="A156:B157"/>
    <mergeCell ref="A133:B133"/>
    <mergeCell ref="A113:B113"/>
    <mergeCell ref="A146:B146"/>
    <mergeCell ref="F217:G217"/>
    <mergeCell ref="F219:G219"/>
    <mergeCell ref="F220:G220"/>
    <mergeCell ref="F221:G221"/>
    <mergeCell ref="F222:G222"/>
    <mergeCell ref="F223:G223"/>
    <mergeCell ref="F224:G224"/>
    <mergeCell ref="H217:I217"/>
    <mergeCell ref="H219:I219"/>
    <mergeCell ref="H220:I220"/>
    <mergeCell ref="H221:I221"/>
    <mergeCell ref="H222:I222"/>
    <mergeCell ref="H223:I223"/>
    <mergeCell ref="H224:I224"/>
    <mergeCell ref="B257:C257"/>
    <mergeCell ref="D257:E257"/>
    <mergeCell ref="A257:A258"/>
    <mergeCell ref="B246:C246"/>
    <mergeCell ref="D246:E246"/>
    <mergeCell ref="F226:G226"/>
    <mergeCell ref="A237:A238"/>
    <mergeCell ref="B254:C254"/>
    <mergeCell ref="D254:E254"/>
    <mergeCell ref="B253:C253"/>
    <mergeCell ref="D253:E253"/>
    <mergeCell ref="A253:A254"/>
    <mergeCell ref="A226:A227"/>
    <mergeCell ref="D226:E226"/>
    <mergeCell ref="D228:E228"/>
    <mergeCell ref="D229:E229"/>
    <mergeCell ref="D230:E230"/>
    <mergeCell ref="D231:E231"/>
    <mergeCell ref="B235:E235"/>
    <mergeCell ref="D237:E237"/>
    <mergeCell ref="B234:E234"/>
    <mergeCell ref="B237:C237"/>
    <mergeCell ref="D232:E232"/>
    <mergeCell ref="D233:E233"/>
    <mergeCell ref="D221:E221"/>
    <mergeCell ref="I44:J44"/>
    <mergeCell ref="I58:J58"/>
    <mergeCell ref="I65:J65"/>
    <mergeCell ref="I77:J77"/>
    <mergeCell ref="A167:A168"/>
    <mergeCell ref="B209:B212"/>
    <mergeCell ref="A207:A208"/>
    <mergeCell ref="A217:A218"/>
    <mergeCell ref="G165:H165"/>
    <mergeCell ref="A86:B86"/>
    <mergeCell ref="A91:B91"/>
    <mergeCell ref="A92:B92"/>
    <mergeCell ref="A97:B97"/>
    <mergeCell ref="A99:B99"/>
    <mergeCell ref="A100:B100"/>
    <mergeCell ref="A104:B104"/>
    <mergeCell ref="A145:B145"/>
    <mergeCell ref="A148:B148"/>
    <mergeCell ref="A154:B154"/>
    <mergeCell ref="A159:B159"/>
    <mergeCell ref="A130:B130"/>
    <mergeCell ref="I156:J156"/>
    <mergeCell ref="I165:J165"/>
    <mergeCell ref="A147:B147"/>
    <mergeCell ref="A124:B124"/>
    <mergeCell ref="A128:B128"/>
    <mergeCell ref="A131:B131"/>
    <mergeCell ref="A132:B132"/>
    <mergeCell ref="A125:B125"/>
    <mergeCell ref="A143:B143"/>
    <mergeCell ref="A136:B136"/>
    <mergeCell ref="A135:B135"/>
    <mergeCell ref="A137:B137"/>
    <mergeCell ref="A138:B138"/>
    <mergeCell ref="A129:B129"/>
    <mergeCell ref="A140:B140"/>
    <mergeCell ref="A158:B158"/>
    <mergeCell ref="G1:H1"/>
    <mergeCell ref="G20:H20"/>
    <mergeCell ref="G156:H156"/>
    <mergeCell ref="A144:B144"/>
    <mergeCell ref="A87:B87"/>
    <mergeCell ref="A90:B90"/>
    <mergeCell ref="A112:B112"/>
    <mergeCell ref="I1:J1"/>
    <mergeCell ref="I20:J20"/>
    <mergeCell ref="C1:D1"/>
    <mergeCell ref="C58:D58"/>
    <mergeCell ref="C65:D65"/>
    <mergeCell ref="C77:D77"/>
    <mergeCell ref="E1:F1"/>
    <mergeCell ref="C20:D20"/>
    <mergeCell ref="A1:A2"/>
    <mergeCell ref="A44:A45"/>
    <mergeCell ref="A58:A59"/>
    <mergeCell ref="A65:A66"/>
    <mergeCell ref="A76:B78"/>
    <mergeCell ref="A134:B134"/>
    <mergeCell ref="A106:B106"/>
    <mergeCell ref="A127:B127"/>
    <mergeCell ref="H253:I253"/>
    <mergeCell ref="L246:M246"/>
    <mergeCell ref="J253:K253"/>
    <mergeCell ref="L253:M253"/>
    <mergeCell ref="J233:K233"/>
    <mergeCell ref="L226:M226"/>
    <mergeCell ref="L228:M228"/>
    <mergeCell ref="L229:M229"/>
    <mergeCell ref="L230:M230"/>
    <mergeCell ref="L231:M231"/>
    <mergeCell ref="L232:M232"/>
    <mergeCell ref="L233:M233"/>
    <mergeCell ref="J234:M234"/>
    <mergeCell ref="F234:I234"/>
    <mergeCell ref="F235:I235"/>
    <mergeCell ref="H230:I230"/>
    <mergeCell ref="F228:G228"/>
    <mergeCell ref="F229:G229"/>
    <mergeCell ref="F230:G230"/>
    <mergeCell ref="F231:G231"/>
    <mergeCell ref="F232:G232"/>
    <mergeCell ref="F233:G233"/>
    <mergeCell ref="H231:I231"/>
    <mergeCell ref="J235:M235"/>
    <mergeCell ref="K1:L1"/>
    <mergeCell ref="M1:N1"/>
    <mergeCell ref="O1:P1"/>
    <mergeCell ref="K20:L20"/>
    <mergeCell ref="M20:N20"/>
    <mergeCell ref="O20:P20"/>
    <mergeCell ref="K44:L44"/>
    <mergeCell ref="M44:N44"/>
    <mergeCell ref="O44:P44"/>
    <mergeCell ref="Q58:R58"/>
    <mergeCell ref="S58:T58"/>
    <mergeCell ref="U58:V58"/>
    <mergeCell ref="W58:X58"/>
    <mergeCell ref="Q65:R65"/>
    <mergeCell ref="F254:G254"/>
    <mergeCell ref="H254:I254"/>
    <mergeCell ref="F257:G257"/>
    <mergeCell ref="H257:I257"/>
    <mergeCell ref="K58:L58"/>
    <mergeCell ref="M58:N58"/>
    <mergeCell ref="O58:P58"/>
    <mergeCell ref="K65:L65"/>
    <mergeCell ref="M65:N65"/>
    <mergeCell ref="O65:P65"/>
    <mergeCell ref="K77:L77"/>
    <mergeCell ref="M77:N77"/>
    <mergeCell ref="J237:K237"/>
    <mergeCell ref="L237:M237"/>
    <mergeCell ref="J246:K246"/>
    <mergeCell ref="F253:G253"/>
    <mergeCell ref="H237:I237"/>
    <mergeCell ref="H246:I246"/>
    <mergeCell ref="R217:S217"/>
    <mergeCell ref="Q1:R1"/>
    <mergeCell ref="S1:T1"/>
    <mergeCell ref="U1:V1"/>
    <mergeCell ref="W1:X1"/>
    <mergeCell ref="Y1:Z1"/>
    <mergeCell ref="Q20:R20"/>
    <mergeCell ref="S20:T20"/>
    <mergeCell ref="U20:V20"/>
    <mergeCell ref="W20:X20"/>
    <mergeCell ref="Y20:Z20"/>
    <mergeCell ref="R219:S219"/>
    <mergeCell ref="T219:U219"/>
    <mergeCell ref="R220:S220"/>
    <mergeCell ref="T220:U220"/>
    <mergeCell ref="R221:S221"/>
    <mergeCell ref="T221:U221"/>
    <mergeCell ref="K156:L156"/>
    <mergeCell ref="M156:N156"/>
    <mergeCell ref="O156:P156"/>
    <mergeCell ref="A215:N215"/>
    <mergeCell ref="A177:A178"/>
    <mergeCell ref="A195:A196"/>
    <mergeCell ref="A197:A198"/>
    <mergeCell ref="A199:A200"/>
    <mergeCell ref="A191:A192"/>
    <mergeCell ref="A187:A188"/>
    <mergeCell ref="A203:A204"/>
    <mergeCell ref="A173:A174"/>
    <mergeCell ref="A205:A206"/>
    <mergeCell ref="A201:A202"/>
    <mergeCell ref="A169:A170"/>
    <mergeCell ref="A179:A180"/>
    <mergeCell ref="A181:A182"/>
    <mergeCell ref="A183:A184"/>
    <mergeCell ref="AA1:AB1"/>
    <mergeCell ref="K165:L165"/>
    <mergeCell ref="M165:N165"/>
    <mergeCell ref="O165:P165"/>
    <mergeCell ref="AA165:AB165"/>
    <mergeCell ref="Q165:R165"/>
    <mergeCell ref="S165:T165"/>
    <mergeCell ref="U165:V165"/>
    <mergeCell ref="W165:X165"/>
    <mergeCell ref="Y165:Z165"/>
    <mergeCell ref="Q77:R77"/>
    <mergeCell ref="S77:T77"/>
    <mergeCell ref="U77:V77"/>
    <mergeCell ref="W77:X77"/>
    <mergeCell ref="Y77:Z77"/>
    <mergeCell ref="Q156:R156"/>
    <mergeCell ref="S156:T156"/>
    <mergeCell ref="U156:V156"/>
    <mergeCell ref="S65:T65"/>
    <mergeCell ref="U65:V65"/>
    <mergeCell ref="W65:X65"/>
    <mergeCell ref="Y65:Z65"/>
    <mergeCell ref="Q44:R44"/>
    <mergeCell ref="S44:T44"/>
    <mergeCell ref="J257:K257"/>
    <mergeCell ref="L257:M257"/>
    <mergeCell ref="J217:K217"/>
    <mergeCell ref="J219:K219"/>
    <mergeCell ref="J220:K220"/>
    <mergeCell ref="J221:K221"/>
    <mergeCell ref="J222:K222"/>
    <mergeCell ref="J223:K223"/>
    <mergeCell ref="J224:K224"/>
    <mergeCell ref="L217:M217"/>
    <mergeCell ref="L219:M219"/>
    <mergeCell ref="L220:M220"/>
    <mergeCell ref="L221:M221"/>
    <mergeCell ref="L222:M222"/>
    <mergeCell ref="L223:M223"/>
    <mergeCell ref="L224:M224"/>
    <mergeCell ref="J226:K226"/>
    <mergeCell ref="J228:K228"/>
    <mergeCell ref="J229:K229"/>
    <mergeCell ref="J230:K230"/>
    <mergeCell ref="J231:K231"/>
    <mergeCell ref="J232:K232"/>
    <mergeCell ref="J254:K254"/>
    <mergeCell ref="L254:M254"/>
    <mergeCell ref="R222:S222"/>
    <mergeCell ref="T222:U222"/>
    <mergeCell ref="R229:S229"/>
    <mergeCell ref="T229:U229"/>
    <mergeCell ref="N226:O226"/>
    <mergeCell ref="P226:Q226"/>
    <mergeCell ref="N228:O228"/>
    <mergeCell ref="P228:Q228"/>
    <mergeCell ref="N229:O229"/>
    <mergeCell ref="P229:Q229"/>
    <mergeCell ref="R223:S223"/>
    <mergeCell ref="T223:U223"/>
    <mergeCell ref="R224:S224"/>
    <mergeCell ref="T224:U224"/>
    <mergeCell ref="R226:S226"/>
    <mergeCell ref="T226:U226"/>
    <mergeCell ref="N253:O253"/>
    <mergeCell ref="P253:Q253"/>
    <mergeCell ref="T231:U231"/>
    <mergeCell ref="N237:O237"/>
    <mergeCell ref="P237:Q237"/>
    <mergeCell ref="N246:O246"/>
    <mergeCell ref="P246:Q246"/>
    <mergeCell ref="R233:S233"/>
    <mergeCell ref="R231:S231"/>
    <mergeCell ref="N233:O233"/>
    <mergeCell ref="P233:Q233"/>
    <mergeCell ref="N234:Q234"/>
    <mergeCell ref="N235:Q235"/>
    <mergeCell ref="N254:O254"/>
    <mergeCell ref="P254:Q254"/>
    <mergeCell ref="N257:O257"/>
    <mergeCell ref="P257:Q257"/>
    <mergeCell ref="R257:S257"/>
    <mergeCell ref="T257:U257"/>
    <mergeCell ref="V257:W257"/>
    <mergeCell ref="AC3:AD3"/>
    <mergeCell ref="AC4:AD4"/>
    <mergeCell ref="AC5:AD5"/>
    <mergeCell ref="AC6:AD6"/>
    <mergeCell ref="AC7:AD7"/>
    <mergeCell ref="AC8:AD8"/>
    <mergeCell ref="AC9:AD9"/>
    <mergeCell ref="X257:Y257"/>
    <mergeCell ref="R237:S237"/>
    <mergeCell ref="T237:U237"/>
    <mergeCell ref="R246:S246"/>
    <mergeCell ref="T246:U246"/>
    <mergeCell ref="R253:S253"/>
    <mergeCell ref="T253:U253"/>
    <mergeCell ref="R254:S254"/>
    <mergeCell ref="T254:U254"/>
    <mergeCell ref="V237:W237"/>
    <mergeCell ref="AC16:AD16"/>
    <mergeCell ref="AC17:AD17"/>
    <mergeCell ref="AC18:AD18"/>
    <mergeCell ref="O77:P77"/>
    <mergeCell ref="G44:H44"/>
    <mergeCell ref="G58:H58"/>
    <mergeCell ref="G65:H65"/>
    <mergeCell ref="G77:H77"/>
    <mergeCell ref="A80:B80"/>
    <mergeCell ref="E20:F20"/>
    <mergeCell ref="E44:F44"/>
    <mergeCell ref="E58:F58"/>
    <mergeCell ref="E65:F65"/>
    <mergeCell ref="E77:F77"/>
    <mergeCell ref="AA20:AB20"/>
    <mergeCell ref="U44:V44"/>
    <mergeCell ref="W44:X44"/>
    <mergeCell ref="Y44:Z44"/>
    <mergeCell ref="A20:A21"/>
    <mergeCell ref="C44:D44"/>
    <mergeCell ref="A79:B79"/>
    <mergeCell ref="A30:A35"/>
    <mergeCell ref="AA44:AB44"/>
    <mergeCell ref="AA58:AB58"/>
    <mergeCell ref="V253:W253"/>
    <mergeCell ref="X253:Y253"/>
    <mergeCell ref="V254:W254"/>
    <mergeCell ref="X254:Y254"/>
    <mergeCell ref="AC19:AD19"/>
    <mergeCell ref="AC1:AD2"/>
    <mergeCell ref="AC10:AD10"/>
    <mergeCell ref="AC11:AD11"/>
    <mergeCell ref="AC12:AD12"/>
    <mergeCell ref="AC13:AD13"/>
    <mergeCell ref="AC14:AD14"/>
    <mergeCell ref="AC15:AD15"/>
    <mergeCell ref="V217:W217"/>
    <mergeCell ref="X217:Y217"/>
    <mergeCell ref="V219:W219"/>
    <mergeCell ref="X219:Y219"/>
    <mergeCell ref="V220:W220"/>
    <mergeCell ref="X220:Y220"/>
    <mergeCell ref="V221:W221"/>
    <mergeCell ref="X221:Y221"/>
    <mergeCell ref="V222:W222"/>
    <mergeCell ref="V229:W229"/>
    <mergeCell ref="X229:Y229"/>
    <mergeCell ref="W156:X156"/>
  </mergeCells>
  <pageMargins left="0.70866141732283472" right="0.70866141732283472" top="0.74803149606299213" bottom="0.74803149606299213" header="0.31496062992125984" footer="0.31496062992125984"/>
  <pageSetup paperSize="9" scale="10" fitToWidth="3" orientation="landscape" r:id="rId1"/>
  <ignoredErrors>
    <ignoredError sqref="AH262 O28:O29 D254" formula="1"/>
    <ignoredError sqref="F235 J235 B235 J222" formulaRange="1"/>
    <ignoredError sqref="AR245:AS246 AV245:AW246 AN245:AO246 X239:Y252 T239:U252 AN239 AN240:AN244 AN248:AN252 AN247 AR239 AR240:AR244 AR248:AR252 AR247 AV239 AV240:AV244 AC259:AC263 AB259:AB263 AF259:AF263 AG259:AG263 AJ259:AJ263 AK259:AK263 AN259:AN263 AO259:AO263 AR259:AS263 AV259:AW263 AV247:AW252" evalError="1"/>
    <ignoredError sqref="AC154" unlocked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59"/>
  <sheetViews>
    <sheetView workbookViewId="0">
      <pane xSplit="1" topLeftCell="B1" activePane="topRight" state="frozen"/>
      <selection pane="topRight" activeCell="A71" sqref="A71"/>
    </sheetView>
  </sheetViews>
  <sheetFormatPr baseColWidth="10" defaultRowHeight="15" x14ac:dyDescent="0.25"/>
  <cols>
    <col min="1" max="1" width="72.710937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1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04"/>
      <c r="F1" s="1304" t="s">
        <v>915</v>
      </c>
      <c r="G1" s="1304"/>
      <c r="H1" s="1304"/>
      <c r="I1" s="1304"/>
      <c r="J1" s="1304"/>
      <c r="K1" t="s">
        <v>81</v>
      </c>
      <c r="L1" t="s">
        <v>82</v>
      </c>
      <c r="M1" s="1304"/>
      <c r="N1" s="1304"/>
      <c r="O1" s="1304"/>
      <c r="R1" s="1304"/>
      <c r="S1" s="1304"/>
      <c r="T1" s="1304"/>
      <c r="U1" s="1304"/>
    </row>
    <row r="2" spans="1:21" x14ac:dyDescent="0.25">
      <c r="K2" t="s">
        <v>83</v>
      </c>
      <c r="L2" t="s">
        <v>84</v>
      </c>
    </row>
    <row r="3" spans="1:21" x14ac:dyDescent="0.25">
      <c r="K3" t="s">
        <v>86</v>
      </c>
      <c r="L3" s="1305">
        <v>5</v>
      </c>
    </row>
    <row r="4" spans="1:21" x14ac:dyDescent="0.25">
      <c r="Q4" s="1305"/>
    </row>
    <row r="5" spans="1:21" ht="15.75" thickBot="1" x14ac:dyDescent="0.3"/>
    <row r="6" spans="1:21" ht="51" customHeight="1" x14ac:dyDescent="0.25">
      <c r="A6" s="1306" t="s">
        <v>87</v>
      </c>
      <c r="B6" s="1307" t="s">
        <v>88</v>
      </c>
      <c r="C6" s="1308" t="s">
        <v>916</v>
      </c>
      <c r="D6" s="1308" t="s">
        <v>337</v>
      </c>
      <c r="E6" s="1308" t="s">
        <v>917</v>
      </c>
      <c r="F6" s="1308" t="s">
        <v>83</v>
      </c>
      <c r="G6" s="1308" t="s">
        <v>918</v>
      </c>
      <c r="H6" s="1307" t="s">
        <v>919</v>
      </c>
      <c r="I6" s="1307" t="s">
        <v>920</v>
      </c>
      <c r="J6" s="1307" t="s">
        <v>921</v>
      </c>
      <c r="K6" s="1307" t="s">
        <v>922</v>
      </c>
      <c r="L6" s="1307" t="s">
        <v>923</v>
      </c>
      <c r="M6" s="1684" t="s">
        <v>924</v>
      </c>
      <c r="N6" s="1685"/>
      <c r="O6" s="1307" t="s">
        <v>925</v>
      </c>
      <c r="P6" s="1307" t="s">
        <v>926</v>
      </c>
      <c r="Q6" s="1307" t="s">
        <v>927</v>
      </c>
      <c r="R6" s="1307" t="s">
        <v>928</v>
      </c>
      <c r="S6" s="1307" t="s">
        <v>929</v>
      </c>
      <c r="T6" s="1307" t="s">
        <v>930</v>
      </c>
      <c r="U6" s="1307" t="s">
        <v>931</v>
      </c>
    </row>
    <row r="7" spans="1:21" ht="34.5" hidden="1" customHeight="1" x14ac:dyDescent="0.25">
      <c r="A7" s="1309"/>
      <c r="B7" s="1310" t="s">
        <v>91</v>
      </c>
      <c r="C7" s="1311"/>
      <c r="D7" s="1312"/>
      <c r="E7" s="1313"/>
      <c r="F7" s="1314" t="s">
        <v>84</v>
      </c>
      <c r="G7" s="1314"/>
      <c r="H7" s="1314"/>
      <c r="I7" s="1314"/>
      <c r="J7" s="1314"/>
      <c r="K7" s="1314"/>
      <c r="L7" s="1315"/>
      <c r="M7" s="1315"/>
      <c r="N7" s="1316" t="str">
        <f t="shared" ref="N7:N59" si="0">IF(K7="",IF(M7="","",IF(L7="MIN",IF(M7=J7,"K",IF(M7&lt;J7,"L","J")),IF(M7=J7,"K",IF(M7&gt;J7,"L","J")))),IF(M7="","",IF(L7="MIN",IF(M7=K7,"K",IF(M7&lt;K7,"L","J")),IF(M7=K7,"K",IF(M7&gt;K7,"L","J")))))</f>
        <v/>
      </c>
      <c r="O7" s="1317"/>
      <c r="P7" s="1317"/>
      <c r="Q7" s="1317"/>
      <c r="R7" s="1317"/>
      <c r="S7" s="1317"/>
      <c r="T7" s="1317"/>
      <c r="U7" s="1317"/>
    </row>
    <row r="8" spans="1:21" ht="34.5" hidden="1" customHeight="1" x14ac:dyDescent="0.25">
      <c r="A8" s="1309"/>
      <c r="B8" s="1310" t="s">
        <v>91</v>
      </c>
      <c r="C8" s="1318"/>
      <c r="D8" s="1319"/>
      <c r="E8" s="1320"/>
      <c r="F8" s="1314" t="s">
        <v>84</v>
      </c>
      <c r="G8" s="1321"/>
      <c r="H8" s="1321"/>
      <c r="I8" s="1321"/>
      <c r="J8" s="1321"/>
      <c r="K8" s="1321"/>
      <c r="L8" s="1322"/>
      <c r="M8" s="1322"/>
      <c r="N8" s="1316" t="str">
        <f t="shared" si="0"/>
        <v/>
      </c>
      <c r="O8" s="1323"/>
      <c r="P8" s="1323"/>
      <c r="Q8" s="1323"/>
      <c r="R8" s="1323"/>
      <c r="S8" s="1323"/>
      <c r="T8" s="1323"/>
      <c r="U8" s="1323"/>
    </row>
    <row r="9" spans="1:21" ht="34.5" hidden="1" customHeight="1" x14ac:dyDescent="0.25">
      <c r="A9" s="1309" t="s">
        <v>932</v>
      </c>
      <c r="B9" s="1310" t="s">
        <v>95</v>
      </c>
      <c r="C9" s="1318"/>
      <c r="D9" s="1319" t="s">
        <v>933</v>
      </c>
      <c r="E9" s="1320"/>
      <c r="F9" s="1321" t="s">
        <v>934</v>
      </c>
      <c r="G9" s="1321"/>
      <c r="H9" s="1321"/>
      <c r="I9" s="1321"/>
      <c r="J9" s="1321"/>
      <c r="K9" s="1321"/>
      <c r="L9" s="1322"/>
      <c r="M9" s="1322"/>
      <c r="N9" s="1316" t="str">
        <f t="shared" si="0"/>
        <v/>
      </c>
      <c r="O9" s="1323"/>
      <c r="P9" s="1323"/>
      <c r="Q9" s="1323"/>
      <c r="R9" s="1323"/>
      <c r="S9" s="1323"/>
      <c r="T9" s="1323"/>
      <c r="U9" s="1323"/>
    </row>
    <row r="10" spans="1:21" ht="34.5" hidden="1" customHeight="1" x14ac:dyDescent="0.25">
      <c r="A10" s="1324" t="s">
        <v>935</v>
      </c>
      <c r="B10" s="1310" t="s">
        <v>95</v>
      </c>
      <c r="C10" s="1318"/>
      <c r="D10" s="1319" t="s">
        <v>933</v>
      </c>
      <c r="E10" s="1320"/>
      <c r="F10" s="1321" t="s">
        <v>934</v>
      </c>
      <c r="G10" s="1321"/>
      <c r="H10" s="1321"/>
      <c r="I10" s="1321"/>
      <c r="J10" s="1321"/>
      <c r="K10" s="1321"/>
      <c r="L10" s="1322"/>
      <c r="M10" s="1322"/>
      <c r="N10" s="1316" t="str">
        <f t="shared" si="0"/>
        <v/>
      </c>
      <c r="O10" s="1323"/>
      <c r="P10" s="1323"/>
      <c r="Q10" s="1323"/>
      <c r="R10" s="1323"/>
      <c r="S10" s="1323"/>
      <c r="T10" s="1323"/>
      <c r="U10" s="1323"/>
    </row>
    <row r="11" spans="1:21" ht="34.5" hidden="1" customHeight="1" x14ac:dyDescent="0.25">
      <c r="A11" s="1309" t="s">
        <v>936</v>
      </c>
      <c r="B11" s="1310" t="s">
        <v>95</v>
      </c>
      <c r="C11" s="1318"/>
      <c r="D11" s="1325" t="s">
        <v>931</v>
      </c>
      <c r="E11" s="1320"/>
      <c r="F11" s="1321" t="s">
        <v>934</v>
      </c>
      <c r="G11" s="1321"/>
      <c r="H11" s="1321"/>
      <c r="I11" s="1321"/>
      <c r="J11" s="1321"/>
      <c r="K11" s="1321"/>
      <c r="L11" s="1322"/>
      <c r="M11" s="1322"/>
      <c r="N11" s="1316" t="str">
        <f t="shared" si="0"/>
        <v/>
      </c>
      <c r="O11" s="1323"/>
      <c r="P11" s="1323"/>
      <c r="Q11" s="1323"/>
      <c r="R11" s="1323"/>
      <c r="S11" s="1323"/>
      <c r="T11" s="1323"/>
      <c r="U11" s="1323"/>
    </row>
    <row r="12" spans="1:21" ht="34.5" hidden="1" customHeight="1" x14ac:dyDescent="0.25">
      <c r="A12" s="1324"/>
      <c r="B12" s="1310" t="s">
        <v>97</v>
      </c>
      <c r="C12" s="1318"/>
      <c r="D12" s="1319"/>
      <c r="E12" s="1320"/>
      <c r="F12" s="1314" t="s">
        <v>84</v>
      </c>
      <c r="G12" s="1321"/>
      <c r="H12" s="1321"/>
      <c r="I12" s="1321"/>
      <c r="J12" s="1321"/>
      <c r="K12" s="1321"/>
      <c r="L12" s="1322"/>
      <c r="M12" s="1322"/>
      <c r="N12" s="1316" t="str">
        <f t="shared" si="0"/>
        <v/>
      </c>
      <c r="O12" s="1323"/>
      <c r="P12" s="1323"/>
      <c r="Q12" s="1323"/>
      <c r="R12" s="1323"/>
      <c r="S12" s="1323"/>
      <c r="T12" s="1323"/>
      <c r="U12" s="1323"/>
    </row>
    <row r="13" spans="1:21" ht="34.5" hidden="1" customHeight="1" x14ac:dyDescent="0.25">
      <c r="A13" s="1309"/>
      <c r="B13" s="1326" t="s">
        <v>97</v>
      </c>
      <c r="C13" s="1327"/>
      <c r="D13" s="1328"/>
      <c r="E13" s="1329"/>
      <c r="F13" s="1314" t="s">
        <v>84</v>
      </c>
      <c r="G13" s="1330"/>
      <c r="H13" s="1330"/>
      <c r="I13" s="1330"/>
      <c r="J13" s="1330"/>
      <c r="K13" s="1330"/>
      <c r="L13" s="1331"/>
      <c r="M13" s="1331"/>
      <c r="N13" s="1316" t="str">
        <f t="shared" si="0"/>
        <v/>
      </c>
      <c r="O13" s="1332"/>
      <c r="P13" s="1332"/>
      <c r="Q13" s="1332"/>
      <c r="R13" s="1332"/>
      <c r="S13" s="1332"/>
      <c r="T13" s="1332"/>
      <c r="U13" s="1332"/>
    </row>
    <row r="14" spans="1:21" ht="34.5" hidden="1" customHeight="1" x14ac:dyDescent="0.25">
      <c r="A14" s="1309" t="s">
        <v>937</v>
      </c>
      <c r="B14" s="1310" t="s">
        <v>345</v>
      </c>
      <c r="C14" s="1318"/>
      <c r="D14" s="1325" t="s">
        <v>933</v>
      </c>
      <c r="E14" s="1320"/>
      <c r="F14" s="1321" t="s">
        <v>938</v>
      </c>
      <c r="G14" s="1321"/>
      <c r="H14" s="1321"/>
      <c r="I14" s="1321"/>
      <c r="J14" s="1321"/>
      <c r="K14" s="1321"/>
      <c r="L14" s="1322"/>
      <c r="M14" s="1322"/>
      <c r="N14" s="1316" t="str">
        <f t="shared" si="0"/>
        <v/>
      </c>
      <c r="O14" s="1323"/>
      <c r="P14" s="1323"/>
      <c r="Q14" s="1323"/>
      <c r="R14" s="1323"/>
      <c r="S14" s="1323"/>
      <c r="T14" s="1323"/>
      <c r="U14" s="1323"/>
    </row>
    <row r="15" spans="1:21" ht="34.5" hidden="1" customHeight="1" x14ac:dyDescent="0.25">
      <c r="A15" s="1309" t="s">
        <v>939</v>
      </c>
      <c r="B15" s="1310" t="s">
        <v>345</v>
      </c>
      <c r="C15" s="1318"/>
      <c r="D15" s="1325" t="s">
        <v>931</v>
      </c>
      <c r="E15" s="1320"/>
      <c r="F15" s="1321" t="s">
        <v>938</v>
      </c>
      <c r="G15" s="1321"/>
      <c r="H15" s="1321"/>
      <c r="I15" s="1321"/>
      <c r="J15" s="1321"/>
      <c r="K15" s="1321"/>
      <c r="L15" s="1322"/>
      <c r="M15" s="1322"/>
      <c r="N15" s="1316" t="str">
        <f t="shared" si="0"/>
        <v/>
      </c>
      <c r="O15" s="1323"/>
      <c r="P15" s="1323"/>
      <c r="Q15" s="1323"/>
      <c r="R15" s="1323"/>
      <c r="S15" s="1323"/>
      <c r="T15" s="1323"/>
      <c r="U15" s="1323"/>
    </row>
    <row r="16" spans="1:21" ht="34.5" hidden="1" customHeight="1" x14ac:dyDescent="0.25">
      <c r="A16" s="1309" t="s">
        <v>940</v>
      </c>
      <c r="B16" s="1310" t="s">
        <v>345</v>
      </c>
      <c r="C16" s="1318"/>
      <c r="D16" s="1325" t="s">
        <v>931</v>
      </c>
      <c r="E16" s="1320"/>
      <c r="F16" s="1321" t="s">
        <v>938</v>
      </c>
      <c r="G16" s="1321"/>
      <c r="H16" s="1321"/>
      <c r="I16" s="1321"/>
      <c r="J16" s="1321"/>
      <c r="K16" s="1321"/>
      <c r="L16" s="1322"/>
      <c r="M16" s="1322"/>
      <c r="N16" s="1316" t="str">
        <f t="shared" si="0"/>
        <v/>
      </c>
      <c r="O16" s="1323"/>
      <c r="P16" s="1323"/>
      <c r="Q16" s="1323"/>
      <c r="R16" s="1323"/>
      <c r="S16" s="1323"/>
      <c r="T16" s="1323"/>
      <c r="U16" s="1323"/>
    </row>
    <row r="17" spans="1:21" ht="34.5" hidden="1" customHeight="1" x14ac:dyDescent="0.25">
      <c r="A17" s="1309" t="s">
        <v>941</v>
      </c>
      <c r="B17" s="1310" t="s">
        <v>112</v>
      </c>
      <c r="C17" s="1318"/>
      <c r="D17" s="1325" t="s">
        <v>933</v>
      </c>
      <c r="E17" s="1320"/>
      <c r="F17" s="1321" t="s">
        <v>942</v>
      </c>
      <c r="G17" s="1321"/>
      <c r="H17" s="1321"/>
      <c r="I17" s="1321"/>
      <c r="J17" s="1321"/>
      <c r="K17" s="1321"/>
      <c r="L17" s="1322"/>
      <c r="M17" s="1322"/>
      <c r="N17" s="1316" t="str">
        <f t="shared" si="0"/>
        <v/>
      </c>
      <c r="O17" s="1323"/>
      <c r="P17" s="1323"/>
      <c r="Q17" s="1323"/>
      <c r="R17" s="1323"/>
      <c r="S17" s="1323"/>
      <c r="T17" s="1323"/>
      <c r="U17" s="1323"/>
    </row>
    <row r="18" spans="1:21" ht="34.5" hidden="1" customHeight="1" x14ac:dyDescent="0.25">
      <c r="A18" s="1309" t="s">
        <v>943</v>
      </c>
      <c r="B18" s="1310" t="s">
        <v>112</v>
      </c>
      <c r="C18" s="1318"/>
      <c r="D18" s="1325" t="s">
        <v>933</v>
      </c>
      <c r="E18" s="1320"/>
      <c r="F18" s="1321" t="s">
        <v>942</v>
      </c>
      <c r="G18" s="1321"/>
      <c r="H18" s="1321"/>
      <c r="I18" s="1321"/>
      <c r="J18" s="1321"/>
      <c r="K18" s="1321"/>
      <c r="L18" s="1322"/>
      <c r="M18" s="1322"/>
      <c r="N18" s="1316" t="str">
        <f t="shared" si="0"/>
        <v/>
      </c>
      <c r="O18" s="1323"/>
      <c r="P18" s="1323"/>
      <c r="Q18" s="1323"/>
      <c r="R18" s="1323"/>
      <c r="S18" s="1323"/>
      <c r="T18" s="1323"/>
      <c r="U18" s="1323"/>
    </row>
    <row r="19" spans="1:21" ht="34.5" hidden="1" customHeight="1" x14ac:dyDescent="0.25">
      <c r="A19" s="1309" t="s">
        <v>944</v>
      </c>
      <c r="B19" s="1310" t="s">
        <v>112</v>
      </c>
      <c r="C19" s="1318"/>
      <c r="D19" s="1325" t="s">
        <v>933</v>
      </c>
      <c r="E19" s="1320"/>
      <c r="F19" s="1321" t="s">
        <v>942</v>
      </c>
      <c r="G19" s="1321"/>
      <c r="H19" s="1321"/>
      <c r="I19" s="1321"/>
      <c r="J19" s="1321"/>
      <c r="K19" s="1321"/>
      <c r="L19" s="1322"/>
      <c r="M19" s="1322"/>
      <c r="N19" s="1316" t="str">
        <f t="shared" si="0"/>
        <v/>
      </c>
      <c r="O19" s="1323"/>
      <c r="P19" s="1323"/>
      <c r="Q19" s="1323"/>
      <c r="R19" s="1323"/>
      <c r="S19" s="1323"/>
      <c r="T19" s="1323"/>
      <c r="U19" s="1323"/>
    </row>
    <row r="20" spans="1:21" ht="34.5" hidden="1" customHeight="1" x14ac:dyDescent="0.25">
      <c r="A20" s="1309" t="s">
        <v>945</v>
      </c>
      <c r="B20" s="1310" t="s">
        <v>112</v>
      </c>
      <c r="C20" s="1318"/>
      <c r="D20" s="1319" t="s">
        <v>933</v>
      </c>
      <c r="E20" s="1320"/>
      <c r="F20" s="1321" t="s">
        <v>942</v>
      </c>
      <c r="G20" s="1321"/>
      <c r="H20" s="1321"/>
      <c r="I20" s="1321"/>
      <c r="J20" s="1321"/>
      <c r="K20" s="1321"/>
      <c r="L20" s="1322"/>
      <c r="M20" s="1322"/>
      <c r="N20" s="1316" t="str">
        <f t="shared" si="0"/>
        <v/>
      </c>
      <c r="O20" s="1323"/>
      <c r="P20" s="1323"/>
      <c r="Q20" s="1323"/>
      <c r="R20" s="1323"/>
      <c r="S20" s="1323"/>
      <c r="T20" s="1323"/>
      <c r="U20" s="1323"/>
    </row>
    <row r="21" spans="1:21" ht="34.5" hidden="1" customHeight="1" x14ac:dyDescent="0.25">
      <c r="A21" s="1324" t="s">
        <v>349</v>
      </c>
      <c r="B21" s="1310" t="s">
        <v>112</v>
      </c>
      <c r="C21" s="1318"/>
      <c r="D21" s="1319" t="s">
        <v>931</v>
      </c>
      <c r="E21" s="1320"/>
      <c r="F21" s="1321" t="s">
        <v>942</v>
      </c>
      <c r="G21" s="1321"/>
      <c r="H21" s="1321"/>
      <c r="I21" s="1321"/>
      <c r="J21" s="1321"/>
      <c r="K21" s="1321"/>
      <c r="L21" s="1322"/>
      <c r="M21" s="1322"/>
      <c r="N21" s="1316" t="str">
        <f t="shared" si="0"/>
        <v/>
      </c>
      <c r="O21" s="1323"/>
      <c r="P21" s="1323"/>
      <c r="Q21" s="1323"/>
      <c r="R21" s="1323"/>
      <c r="S21" s="1323"/>
      <c r="T21" s="1323"/>
      <c r="U21" s="1323"/>
    </row>
    <row r="22" spans="1:21" ht="34.5" hidden="1" customHeight="1" x14ac:dyDescent="0.25">
      <c r="A22" s="1324" t="s">
        <v>356</v>
      </c>
      <c r="B22" s="1310" t="s">
        <v>350</v>
      </c>
      <c r="C22" s="1318"/>
      <c r="D22" s="1319" t="s">
        <v>933</v>
      </c>
      <c r="E22" s="1320"/>
      <c r="F22" s="1321" t="s">
        <v>942</v>
      </c>
      <c r="G22" s="1321"/>
      <c r="H22" s="1321"/>
      <c r="I22" s="1321"/>
      <c r="J22" s="1321"/>
      <c r="K22" s="1321"/>
      <c r="L22" s="1322"/>
      <c r="M22" s="1322"/>
      <c r="N22" s="1316" t="str">
        <f t="shared" si="0"/>
        <v/>
      </c>
      <c r="O22" s="1323"/>
      <c r="P22" s="1323"/>
      <c r="Q22" s="1323"/>
      <c r="R22" s="1323"/>
      <c r="S22" s="1323"/>
      <c r="T22" s="1323"/>
      <c r="U22" s="1323"/>
    </row>
    <row r="23" spans="1:21" ht="34.5" hidden="1" customHeight="1" x14ac:dyDescent="0.25">
      <c r="A23" s="1309" t="s">
        <v>946</v>
      </c>
      <c r="B23" s="1310" t="s">
        <v>350</v>
      </c>
      <c r="C23" s="1318"/>
      <c r="D23" s="1319" t="s">
        <v>931</v>
      </c>
      <c r="E23" s="1320"/>
      <c r="F23" s="1321" t="s">
        <v>942</v>
      </c>
      <c r="G23" s="1321"/>
      <c r="H23" s="1321"/>
      <c r="I23" s="1321"/>
      <c r="J23" s="1321"/>
      <c r="K23" s="1321"/>
      <c r="L23" s="1322"/>
      <c r="M23" s="1322"/>
      <c r="N23" s="1316" t="str">
        <f t="shared" si="0"/>
        <v/>
      </c>
      <c r="O23" s="1323"/>
      <c r="P23" s="1323"/>
      <c r="Q23" s="1323"/>
      <c r="R23" s="1323"/>
      <c r="S23" s="1323"/>
      <c r="T23" s="1323"/>
      <c r="U23" s="1323"/>
    </row>
    <row r="24" spans="1:21" ht="34.5" hidden="1" customHeight="1" x14ac:dyDescent="0.25">
      <c r="A24" s="1309" t="s">
        <v>947</v>
      </c>
      <c r="B24" s="1310" t="s">
        <v>350</v>
      </c>
      <c r="C24" s="1318"/>
      <c r="D24" s="1325" t="s">
        <v>931</v>
      </c>
      <c r="E24" s="1320"/>
      <c r="F24" s="1321" t="s">
        <v>942</v>
      </c>
      <c r="G24" s="1321"/>
      <c r="H24" s="1321"/>
      <c r="I24" s="1321"/>
      <c r="J24" s="1321"/>
      <c r="K24" s="1321"/>
      <c r="L24" s="1322"/>
      <c r="M24" s="1322"/>
      <c r="N24" s="1316" t="str">
        <f t="shared" si="0"/>
        <v/>
      </c>
      <c r="O24" s="1323"/>
      <c r="P24" s="1323"/>
      <c r="Q24" s="1323"/>
      <c r="R24" s="1323"/>
      <c r="S24" s="1323"/>
      <c r="T24" s="1323"/>
      <c r="U24" s="1323"/>
    </row>
    <row r="25" spans="1:21" ht="34.5" hidden="1" customHeight="1" x14ac:dyDescent="0.25">
      <c r="A25" s="1324" t="s">
        <v>948</v>
      </c>
      <c r="B25" s="1310" t="s">
        <v>350</v>
      </c>
      <c r="C25" s="1318"/>
      <c r="D25" s="1319" t="s">
        <v>931</v>
      </c>
      <c r="E25" s="1320"/>
      <c r="F25" s="1321" t="s">
        <v>942</v>
      </c>
      <c r="G25" s="1321"/>
      <c r="H25" s="1321"/>
      <c r="I25" s="1321"/>
      <c r="J25" s="1321"/>
      <c r="K25" s="1321"/>
      <c r="L25" s="1333"/>
      <c r="M25" s="1333"/>
      <c r="N25" s="1316" t="str">
        <f t="shared" si="0"/>
        <v/>
      </c>
      <c r="O25" s="1323"/>
      <c r="P25" s="1323"/>
      <c r="Q25" s="1323"/>
      <c r="R25" s="1323"/>
      <c r="S25" s="1323"/>
      <c r="T25" s="1323"/>
      <c r="U25" s="1323"/>
    </row>
    <row r="26" spans="1:21" ht="34.5" hidden="1" customHeight="1" x14ac:dyDescent="0.25">
      <c r="A26" s="1324"/>
      <c r="B26" s="1310"/>
      <c r="C26" s="1318"/>
      <c r="D26" s="1319"/>
      <c r="E26" s="1320"/>
      <c r="F26" s="1321"/>
      <c r="G26" s="1321"/>
      <c r="H26" s="1321"/>
      <c r="I26" s="1321"/>
      <c r="J26" s="1321"/>
      <c r="K26" s="1321"/>
      <c r="L26" s="1333"/>
      <c r="M26" s="1333"/>
      <c r="N26" s="1316" t="str">
        <f t="shared" si="0"/>
        <v/>
      </c>
      <c r="O26" s="1323"/>
      <c r="P26" s="1323"/>
      <c r="Q26" s="1323"/>
      <c r="R26" s="1323"/>
      <c r="S26" s="1323"/>
      <c r="T26" s="1323"/>
      <c r="U26" s="1323"/>
    </row>
    <row r="27" spans="1:21" ht="34.5" hidden="1" customHeight="1" x14ac:dyDescent="0.25">
      <c r="A27" s="1324" t="s">
        <v>949</v>
      </c>
      <c r="B27" s="1310" t="s">
        <v>353</v>
      </c>
      <c r="C27" s="1318"/>
      <c r="D27" s="1319" t="s">
        <v>933</v>
      </c>
      <c r="E27" s="1320"/>
      <c r="F27" s="1321" t="s">
        <v>950</v>
      </c>
      <c r="G27" s="1321"/>
      <c r="H27" s="1321"/>
      <c r="I27" s="1321"/>
      <c r="J27" s="1321"/>
      <c r="K27" s="1321"/>
      <c r="L27" s="1333"/>
      <c r="M27" s="1333"/>
      <c r="N27" s="1316" t="str">
        <f t="shared" si="0"/>
        <v/>
      </c>
      <c r="O27" s="1323"/>
      <c r="P27" s="1323"/>
      <c r="Q27" s="1323"/>
      <c r="R27" s="1323"/>
      <c r="S27" s="1323"/>
      <c r="T27" s="1323"/>
      <c r="U27" s="1323"/>
    </row>
    <row r="28" spans="1:21" ht="34.5" hidden="1" customHeight="1" x14ac:dyDescent="0.25">
      <c r="A28" s="1324" t="s">
        <v>951</v>
      </c>
      <c r="B28" s="1310" t="s">
        <v>353</v>
      </c>
      <c r="C28" s="1318"/>
      <c r="D28" s="1319" t="s">
        <v>931</v>
      </c>
      <c r="E28" s="1320"/>
      <c r="F28" s="1321" t="s">
        <v>950</v>
      </c>
      <c r="G28" s="1321"/>
      <c r="H28" s="1321"/>
      <c r="I28" s="1321"/>
      <c r="J28" s="1321"/>
      <c r="K28" s="1321"/>
      <c r="L28" s="1333"/>
      <c r="M28" s="1333"/>
      <c r="N28" s="1316" t="str">
        <f t="shared" si="0"/>
        <v/>
      </c>
      <c r="O28" s="1323"/>
      <c r="P28" s="1323"/>
      <c r="Q28" s="1323"/>
      <c r="R28" s="1323"/>
      <c r="S28" s="1323"/>
      <c r="T28" s="1323"/>
      <c r="U28" s="1323"/>
    </row>
    <row r="29" spans="1:21" ht="34.5" customHeight="1" x14ac:dyDescent="0.25">
      <c r="A29" s="1372" t="s">
        <v>122</v>
      </c>
      <c r="B29" s="1310" t="s">
        <v>123</v>
      </c>
      <c r="C29" s="1374" t="s">
        <v>1004</v>
      </c>
      <c r="D29" s="1319" t="s">
        <v>338</v>
      </c>
      <c r="E29" s="1320" t="s">
        <v>124</v>
      </c>
      <c r="F29" s="1321" t="s">
        <v>952</v>
      </c>
      <c r="G29" s="1321" t="s">
        <v>1005</v>
      </c>
      <c r="H29" s="1321">
        <v>6</v>
      </c>
      <c r="I29" s="1321"/>
      <c r="J29" s="1321"/>
      <c r="K29" s="1321">
        <v>6</v>
      </c>
      <c r="L29" s="1333" t="s">
        <v>957</v>
      </c>
      <c r="M29" s="1333"/>
      <c r="N29" s="1316" t="str">
        <f t="shared" si="0"/>
        <v/>
      </c>
      <c r="O29" s="1323"/>
      <c r="P29" s="1323"/>
      <c r="Q29" s="1323"/>
      <c r="R29" s="1323"/>
      <c r="S29" s="1323"/>
      <c r="T29" s="1323"/>
      <c r="U29" s="1323"/>
    </row>
    <row r="30" spans="1:21" ht="34.5" customHeight="1" x14ac:dyDescent="0.25">
      <c r="A30" s="1373" t="s">
        <v>355</v>
      </c>
      <c r="B30" s="1310" t="s">
        <v>123</v>
      </c>
      <c r="C30" s="1318"/>
      <c r="D30" s="1325"/>
      <c r="E30" s="1320"/>
      <c r="F30" s="1321" t="s">
        <v>952</v>
      </c>
      <c r="G30" s="1321"/>
      <c r="H30" s="1321"/>
      <c r="I30" s="1321"/>
      <c r="J30" s="1321"/>
      <c r="K30" s="1321"/>
      <c r="L30" s="1333"/>
      <c r="M30" s="1333"/>
      <c r="N30" s="1316" t="str">
        <f t="shared" si="0"/>
        <v/>
      </c>
      <c r="O30" s="1323"/>
      <c r="P30" s="1323"/>
      <c r="Q30" s="1323"/>
      <c r="R30" s="1323"/>
      <c r="S30" s="1323"/>
      <c r="T30" s="1323"/>
      <c r="U30" s="1323"/>
    </row>
    <row r="31" spans="1:21" ht="34.5" hidden="1" customHeight="1" x14ac:dyDescent="0.25">
      <c r="A31" s="1309" t="s">
        <v>953</v>
      </c>
      <c r="B31" s="1310" t="s">
        <v>359</v>
      </c>
      <c r="C31" s="1334" t="s">
        <v>954</v>
      </c>
      <c r="D31" s="1325" t="s">
        <v>933</v>
      </c>
      <c r="E31" s="1335" t="s">
        <v>249</v>
      </c>
      <c r="F31" s="1336" t="s">
        <v>955</v>
      </c>
      <c r="G31" s="1336" t="s">
        <v>955</v>
      </c>
      <c r="H31" s="1337">
        <v>100</v>
      </c>
      <c r="I31" s="1338">
        <v>1</v>
      </c>
      <c r="J31" s="1339" t="s">
        <v>956</v>
      </c>
      <c r="K31" s="1340">
        <v>1</v>
      </c>
      <c r="L31" s="1341" t="s">
        <v>957</v>
      </c>
      <c r="M31" s="1333"/>
      <c r="N31" s="1316" t="str">
        <f t="shared" si="0"/>
        <v/>
      </c>
      <c r="O31" s="1323"/>
      <c r="P31" s="1323"/>
      <c r="Q31" s="1323"/>
      <c r="R31" s="1323"/>
      <c r="S31" s="1323"/>
      <c r="T31" s="1323"/>
      <c r="U31" s="1323"/>
    </row>
    <row r="32" spans="1:21" ht="34.5" hidden="1" customHeight="1" x14ac:dyDescent="0.25">
      <c r="A32" s="1309" t="s">
        <v>958</v>
      </c>
      <c r="B32" s="1310" t="s">
        <v>359</v>
      </c>
      <c r="C32" s="1334" t="s">
        <v>959</v>
      </c>
      <c r="D32" s="1325" t="s">
        <v>931</v>
      </c>
      <c r="E32" s="1335" t="s">
        <v>663</v>
      </c>
      <c r="F32" s="1336" t="s">
        <v>955</v>
      </c>
      <c r="G32" s="1336" t="s">
        <v>955</v>
      </c>
      <c r="H32" s="1338">
        <v>0</v>
      </c>
      <c r="I32" s="1338">
        <v>0</v>
      </c>
      <c r="J32" s="1339" t="s">
        <v>956</v>
      </c>
      <c r="K32" s="1340">
        <v>0</v>
      </c>
      <c r="L32" s="1342" t="s">
        <v>960</v>
      </c>
      <c r="M32" s="1333"/>
      <c r="N32" s="1316" t="str">
        <f t="shared" si="0"/>
        <v/>
      </c>
      <c r="O32" s="1323"/>
      <c r="P32" s="1323"/>
      <c r="Q32" s="1323"/>
      <c r="R32" s="1323"/>
      <c r="S32" s="1323"/>
      <c r="T32" s="1323"/>
      <c r="U32" s="1323"/>
    </row>
    <row r="33" spans="1:21" ht="34.5" hidden="1" customHeight="1" x14ac:dyDescent="0.25">
      <c r="A33" s="1309" t="s">
        <v>961</v>
      </c>
      <c r="B33" s="1310" t="s">
        <v>107</v>
      </c>
      <c r="C33" s="1318"/>
      <c r="D33" s="1325" t="s">
        <v>931</v>
      </c>
      <c r="E33" s="1320"/>
      <c r="F33" s="1321" t="s">
        <v>950</v>
      </c>
      <c r="G33" s="1321"/>
      <c r="H33" s="1321"/>
      <c r="I33" s="1321"/>
      <c r="J33" s="1321"/>
      <c r="K33" s="1321"/>
      <c r="L33" s="1333"/>
      <c r="M33" s="1333"/>
      <c r="N33" s="1316" t="str">
        <f t="shared" si="0"/>
        <v/>
      </c>
      <c r="O33" s="1323"/>
      <c r="P33" s="1323"/>
      <c r="Q33" s="1323"/>
      <c r="R33" s="1323"/>
      <c r="S33" s="1323"/>
      <c r="T33" s="1323"/>
      <c r="U33" s="1323"/>
    </row>
    <row r="34" spans="1:21" ht="34.5" hidden="1" customHeight="1" x14ac:dyDescent="0.25">
      <c r="A34" s="1324" t="s">
        <v>962</v>
      </c>
      <c r="B34" s="1310" t="s">
        <v>107</v>
      </c>
      <c r="C34" s="1318"/>
      <c r="D34" s="1319" t="s">
        <v>931</v>
      </c>
      <c r="E34" s="1320"/>
      <c r="F34" s="1321" t="s">
        <v>950</v>
      </c>
      <c r="G34" s="1321"/>
      <c r="H34" s="1321"/>
      <c r="I34" s="1321"/>
      <c r="J34" s="1321"/>
      <c r="K34" s="1321"/>
      <c r="L34" s="1333"/>
      <c r="M34" s="1333"/>
      <c r="N34" s="1316" t="str">
        <f t="shared" si="0"/>
        <v/>
      </c>
      <c r="O34" s="1323"/>
      <c r="P34" s="1323"/>
      <c r="Q34" s="1323"/>
      <c r="R34" s="1323"/>
      <c r="S34" s="1323"/>
      <c r="T34" s="1323"/>
      <c r="U34" s="1323"/>
    </row>
    <row r="35" spans="1:21" ht="34.5" hidden="1" customHeight="1" x14ac:dyDescent="0.25">
      <c r="A35" s="1309" t="s">
        <v>963</v>
      </c>
      <c r="B35" s="1310" t="s">
        <v>107</v>
      </c>
      <c r="C35" s="1318"/>
      <c r="D35" s="1325" t="s">
        <v>933</v>
      </c>
      <c r="E35" s="1320"/>
      <c r="F35" s="1321" t="s">
        <v>950</v>
      </c>
      <c r="G35" s="1321"/>
      <c r="H35" s="1321"/>
      <c r="I35" s="1321"/>
      <c r="J35" s="1321"/>
      <c r="K35" s="1321"/>
      <c r="L35" s="1333"/>
      <c r="M35" s="1333"/>
      <c r="N35" s="1316" t="str">
        <f t="shared" si="0"/>
        <v/>
      </c>
      <c r="O35" s="1323"/>
      <c r="P35" s="1323"/>
      <c r="Q35" s="1323"/>
      <c r="R35" s="1323"/>
      <c r="S35" s="1323"/>
      <c r="T35" s="1323"/>
      <c r="U35" s="1323"/>
    </row>
    <row r="36" spans="1:21" ht="34.5" hidden="1" customHeight="1" x14ac:dyDescent="0.25">
      <c r="A36" s="1309"/>
      <c r="B36" s="1310" t="s">
        <v>100</v>
      </c>
      <c r="C36" s="1318"/>
      <c r="D36" s="1325"/>
      <c r="E36" s="1320"/>
      <c r="F36" s="1321" t="s">
        <v>950</v>
      </c>
      <c r="G36" s="1321"/>
      <c r="H36" s="1321"/>
      <c r="I36" s="1321"/>
      <c r="J36" s="1321"/>
      <c r="K36" s="1321"/>
      <c r="L36" s="1333"/>
      <c r="M36" s="1333"/>
      <c r="N36" s="1316" t="str">
        <f t="shared" si="0"/>
        <v/>
      </c>
      <c r="O36" s="1323"/>
      <c r="P36" s="1323"/>
      <c r="Q36" s="1323"/>
      <c r="R36" s="1323"/>
      <c r="S36" s="1323"/>
      <c r="T36" s="1323"/>
      <c r="U36" s="1323"/>
    </row>
    <row r="37" spans="1:21" ht="34.5" hidden="1" customHeight="1" x14ac:dyDescent="0.25">
      <c r="A37" s="1324"/>
      <c r="B37" s="1310" t="s">
        <v>100</v>
      </c>
      <c r="C37" s="1318"/>
      <c r="D37" s="1325"/>
      <c r="E37" s="1320"/>
      <c r="F37" s="1321" t="s">
        <v>950</v>
      </c>
      <c r="G37" s="1321"/>
      <c r="H37" s="1321"/>
      <c r="I37" s="1321"/>
      <c r="J37" s="1321"/>
      <c r="K37" s="1321"/>
      <c r="L37" s="1333"/>
      <c r="M37" s="1333"/>
      <c r="N37" s="1316" t="str">
        <f t="shared" si="0"/>
        <v/>
      </c>
      <c r="O37" s="1323"/>
      <c r="P37" s="1323"/>
      <c r="Q37" s="1323"/>
      <c r="R37" s="1323"/>
      <c r="S37" s="1323"/>
      <c r="T37" s="1323"/>
      <c r="U37" s="1323"/>
    </row>
    <row r="38" spans="1:21" ht="34.5" hidden="1" customHeight="1" x14ac:dyDescent="0.25">
      <c r="A38" s="1309" t="s">
        <v>964</v>
      </c>
      <c r="B38" s="1310" t="s">
        <v>120</v>
      </c>
      <c r="C38" s="1318"/>
      <c r="D38" s="1319" t="s">
        <v>933</v>
      </c>
      <c r="E38" s="1320"/>
      <c r="F38" s="1321" t="s">
        <v>965</v>
      </c>
      <c r="G38" s="1321"/>
      <c r="H38" s="1321"/>
      <c r="I38" s="1321"/>
      <c r="J38" s="1321"/>
      <c r="K38" s="1321"/>
      <c r="L38" s="1333"/>
      <c r="M38" s="1333"/>
      <c r="N38" s="1316" t="str">
        <f t="shared" si="0"/>
        <v/>
      </c>
      <c r="O38" s="1323"/>
      <c r="P38" s="1323"/>
      <c r="Q38" s="1323"/>
      <c r="R38" s="1323"/>
      <c r="S38" s="1323"/>
      <c r="T38" s="1323"/>
      <c r="U38" s="1323"/>
    </row>
    <row r="39" spans="1:21" ht="34.5" hidden="1" customHeight="1" x14ac:dyDescent="0.25">
      <c r="A39" s="1343" t="s">
        <v>966</v>
      </c>
      <c r="B39" s="1344" t="s">
        <v>120</v>
      </c>
      <c r="C39" s="1345"/>
      <c r="D39" s="1346" t="s">
        <v>931</v>
      </c>
      <c r="E39" s="1347"/>
      <c r="F39" s="1321" t="s">
        <v>965</v>
      </c>
      <c r="G39" s="1348"/>
      <c r="H39" s="1348"/>
      <c r="I39" s="1348"/>
      <c r="J39" s="1348"/>
      <c r="K39" s="1348"/>
      <c r="L39" s="1349"/>
      <c r="M39" s="1349"/>
      <c r="N39" s="1316" t="str">
        <f t="shared" si="0"/>
        <v/>
      </c>
      <c r="O39" s="1350"/>
      <c r="P39" s="1350"/>
      <c r="Q39" s="1350"/>
      <c r="R39" s="1350"/>
      <c r="S39" s="1350"/>
      <c r="T39" s="1350"/>
      <c r="U39" s="1350"/>
    </row>
    <row r="40" spans="1:21" ht="34.5" hidden="1" customHeight="1" x14ac:dyDescent="0.25">
      <c r="A40" s="1351" t="s">
        <v>967</v>
      </c>
      <c r="B40" s="1310" t="s">
        <v>120</v>
      </c>
      <c r="C40" s="1318"/>
      <c r="D40" s="1325" t="s">
        <v>933</v>
      </c>
      <c r="E40" s="1320"/>
      <c r="F40" s="1321" t="s">
        <v>965</v>
      </c>
      <c r="G40" s="1321"/>
      <c r="H40" s="1321"/>
      <c r="I40" s="1321"/>
      <c r="J40" s="1321"/>
      <c r="K40" s="1321"/>
      <c r="L40" s="1333"/>
      <c r="M40" s="1333"/>
      <c r="N40" s="1316" t="str">
        <f t="shared" si="0"/>
        <v/>
      </c>
      <c r="O40" s="1323"/>
      <c r="P40" s="1323"/>
      <c r="Q40" s="1323"/>
      <c r="R40" s="1323"/>
      <c r="S40" s="1323"/>
      <c r="T40" s="1323"/>
      <c r="U40" s="1323"/>
    </row>
    <row r="41" spans="1:21" ht="34.5" hidden="1" customHeight="1" x14ac:dyDescent="0.25">
      <c r="A41" s="1352" t="s">
        <v>968</v>
      </c>
      <c r="B41" s="1353" t="s">
        <v>120</v>
      </c>
      <c r="C41" s="1354"/>
      <c r="D41" s="1355" t="s">
        <v>933</v>
      </c>
      <c r="E41" s="1320"/>
      <c r="F41" s="1321" t="s">
        <v>965</v>
      </c>
      <c r="G41" s="1321"/>
      <c r="H41" s="1321"/>
      <c r="I41" s="1321"/>
      <c r="J41" s="1321"/>
      <c r="K41" s="1321"/>
      <c r="L41" s="1333"/>
      <c r="M41" s="1333"/>
      <c r="N41" s="1316" t="str">
        <f t="shared" si="0"/>
        <v/>
      </c>
      <c r="O41" s="1323"/>
      <c r="P41" s="1323"/>
      <c r="Q41" s="1323"/>
      <c r="R41" s="1323"/>
      <c r="S41" s="1323"/>
      <c r="T41" s="1323"/>
      <c r="U41" s="1323"/>
    </row>
    <row r="42" spans="1:21" ht="34.5" hidden="1" customHeight="1" x14ac:dyDescent="0.25">
      <c r="A42" s="1343" t="s">
        <v>969</v>
      </c>
      <c r="B42" s="1353" t="s">
        <v>120</v>
      </c>
      <c r="C42" s="1318"/>
      <c r="D42" s="1346"/>
      <c r="E42" s="1356"/>
      <c r="F42" s="1321" t="s">
        <v>965</v>
      </c>
      <c r="G42" s="1357"/>
      <c r="H42" s="1357"/>
      <c r="I42" s="1357"/>
      <c r="J42" s="1357"/>
      <c r="K42" s="1357"/>
      <c r="L42" s="1358"/>
      <c r="M42" s="1358"/>
      <c r="N42" s="1316" t="str">
        <f t="shared" si="0"/>
        <v/>
      </c>
      <c r="O42" s="1359"/>
      <c r="P42" s="1359"/>
      <c r="Q42" s="1359"/>
      <c r="R42" s="1359"/>
      <c r="S42" s="1359"/>
      <c r="T42" s="1359"/>
      <c r="U42" s="1359"/>
    </row>
    <row r="43" spans="1:21" ht="34.5" hidden="1" customHeight="1" x14ac:dyDescent="0.25">
      <c r="A43" s="1343" t="s">
        <v>970</v>
      </c>
      <c r="B43" s="1353" t="s">
        <v>114</v>
      </c>
      <c r="C43" s="1334" t="s">
        <v>971</v>
      </c>
      <c r="D43" s="1346" t="s">
        <v>931</v>
      </c>
      <c r="E43" s="1335" t="s">
        <v>972</v>
      </c>
      <c r="F43" s="1336" t="s">
        <v>955</v>
      </c>
      <c r="G43" s="1336" t="s">
        <v>955</v>
      </c>
      <c r="H43" s="1348"/>
      <c r="I43" s="1348"/>
      <c r="J43" s="1348"/>
      <c r="K43" s="1348"/>
      <c r="L43" s="1349"/>
      <c r="M43" s="1349"/>
      <c r="N43" s="1316" t="str">
        <f t="shared" si="0"/>
        <v/>
      </c>
      <c r="O43" s="1350"/>
      <c r="P43" s="1350"/>
      <c r="Q43" s="1350"/>
      <c r="R43" s="1350"/>
      <c r="S43" s="1350"/>
      <c r="T43" s="1350"/>
      <c r="U43" s="1350"/>
    </row>
    <row r="44" spans="1:21" ht="34.5" hidden="1" customHeight="1" x14ac:dyDescent="0.25">
      <c r="A44" s="1309" t="s">
        <v>973</v>
      </c>
      <c r="B44" s="1310" t="s">
        <v>114</v>
      </c>
      <c r="C44" s="1334" t="s">
        <v>974</v>
      </c>
      <c r="D44" s="1319" t="s">
        <v>931</v>
      </c>
      <c r="E44" s="1335" t="s">
        <v>972</v>
      </c>
      <c r="F44" s="1336" t="s">
        <v>955</v>
      </c>
      <c r="G44" s="1336" t="s">
        <v>955</v>
      </c>
      <c r="H44" s="1321"/>
      <c r="I44" s="1321"/>
      <c r="J44" s="1321"/>
      <c r="K44" s="1321"/>
      <c r="L44" s="1333"/>
      <c r="M44" s="1333"/>
      <c r="N44" s="1316" t="str">
        <f t="shared" si="0"/>
        <v/>
      </c>
      <c r="O44" s="1323"/>
      <c r="P44" s="1323"/>
      <c r="Q44" s="1323"/>
      <c r="R44" s="1323"/>
      <c r="S44" s="1323"/>
      <c r="T44" s="1323"/>
      <c r="U44" s="1323"/>
    </row>
    <row r="45" spans="1:21" ht="34.5" hidden="1" customHeight="1" x14ac:dyDescent="0.25">
      <c r="A45" s="1309" t="s">
        <v>975</v>
      </c>
      <c r="B45" s="1310" t="s">
        <v>114</v>
      </c>
      <c r="C45" s="1334" t="s">
        <v>976</v>
      </c>
      <c r="D45" s="1319" t="s">
        <v>931</v>
      </c>
      <c r="E45" s="1335" t="s">
        <v>972</v>
      </c>
      <c r="F45" s="1336" t="s">
        <v>955</v>
      </c>
      <c r="G45" s="1336" t="s">
        <v>955</v>
      </c>
      <c r="H45" s="1337">
        <v>10</v>
      </c>
      <c r="I45" s="1321" t="s">
        <v>977</v>
      </c>
      <c r="J45" s="1360" t="s">
        <v>978</v>
      </c>
      <c r="K45" s="1321">
        <v>10</v>
      </c>
      <c r="L45" s="1333" t="s">
        <v>960</v>
      </c>
      <c r="M45" s="1333"/>
      <c r="N45" s="1316" t="str">
        <f>IF(K45="",IF(M45="","",IF(L45="MIN",IF(M45=J45,"K",IF(M45&lt;J45,"L","J")),IF(M45=J45,"K",IF(M45&gt;J45,"L","J")))),IF(M45="","",IF(L45="MIN",IF(M45=K45,"K",IF(M45&lt;K45,"L","J")),IF(M45=K45,"K",IF(M45&gt;K45,"L","J")))))</f>
        <v/>
      </c>
      <c r="O45" s="1323"/>
      <c r="P45" s="1323"/>
      <c r="Q45" s="1323"/>
      <c r="R45" s="1323"/>
      <c r="S45" s="1323"/>
      <c r="T45" s="1323"/>
      <c r="U45" s="1323"/>
    </row>
    <row r="46" spans="1:21" ht="34.5" hidden="1" customHeight="1" x14ac:dyDescent="0.25">
      <c r="A46" s="1309" t="s">
        <v>979</v>
      </c>
      <c r="B46" s="1310" t="s">
        <v>114</v>
      </c>
      <c r="C46" s="1334" t="s">
        <v>980</v>
      </c>
      <c r="D46" s="1319" t="s">
        <v>931</v>
      </c>
      <c r="E46" s="1335" t="s">
        <v>972</v>
      </c>
      <c r="F46" s="1336" t="s">
        <v>955</v>
      </c>
      <c r="G46" s="1336" t="s">
        <v>955</v>
      </c>
      <c r="H46" s="1337">
        <v>20</v>
      </c>
      <c r="I46" s="1321" t="s">
        <v>977</v>
      </c>
      <c r="J46" s="1360" t="s">
        <v>978</v>
      </c>
      <c r="K46" s="1321">
        <v>20</v>
      </c>
      <c r="L46" s="1333" t="s">
        <v>960</v>
      </c>
      <c r="M46" s="1333"/>
      <c r="N46" s="1316" t="str">
        <f t="shared" si="0"/>
        <v/>
      </c>
      <c r="O46" s="1323"/>
      <c r="P46" s="1323"/>
      <c r="Q46" s="1323"/>
      <c r="R46" s="1323"/>
      <c r="S46" s="1323"/>
      <c r="T46" s="1323"/>
      <c r="U46" s="1323"/>
    </row>
    <row r="47" spans="1:21" ht="34.5" hidden="1" customHeight="1" x14ac:dyDescent="0.25">
      <c r="A47" s="1324" t="s">
        <v>981</v>
      </c>
      <c r="B47" s="1310" t="s">
        <v>114</v>
      </c>
      <c r="C47" s="1334" t="s">
        <v>976</v>
      </c>
      <c r="D47" s="1319" t="s">
        <v>931</v>
      </c>
      <c r="E47" s="1335" t="s">
        <v>972</v>
      </c>
      <c r="F47" s="1336" t="s">
        <v>955</v>
      </c>
      <c r="G47" s="1336" t="s">
        <v>955</v>
      </c>
      <c r="H47" s="1321"/>
      <c r="I47" s="1321" t="s">
        <v>977</v>
      </c>
      <c r="J47" s="1321"/>
      <c r="K47" s="1321">
        <v>10</v>
      </c>
      <c r="L47" s="1333"/>
      <c r="M47" s="1333"/>
      <c r="N47" s="1316" t="str">
        <f t="shared" si="0"/>
        <v/>
      </c>
      <c r="O47" s="1323"/>
      <c r="P47" s="1323"/>
      <c r="Q47" s="1323"/>
      <c r="R47" s="1323"/>
      <c r="S47" s="1323"/>
      <c r="T47" s="1323"/>
      <c r="U47" s="1323"/>
    </row>
    <row r="48" spans="1:21" ht="34.5" hidden="1" customHeight="1" x14ac:dyDescent="0.25">
      <c r="A48" s="1309" t="s">
        <v>982</v>
      </c>
      <c r="B48" s="1310" t="s">
        <v>114</v>
      </c>
      <c r="C48" s="1334" t="s">
        <v>980</v>
      </c>
      <c r="D48" s="1325" t="s">
        <v>931</v>
      </c>
      <c r="E48" s="1335" t="s">
        <v>972</v>
      </c>
      <c r="F48" s="1336" t="s">
        <v>955</v>
      </c>
      <c r="G48" s="1336" t="s">
        <v>955</v>
      </c>
      <c r="H48" s="1321"/>
      <c r="I48" s="1321" t="s">
        <v>977</v>
      </c>
      <c r="J48" s="1321"/>
      <c r="K48" s="1321">
        <v>20</v>
      </c>
      <c r="L48" s="1333" t="s">
        <v>960</v>
      </c>
      <c r="M48" s="1333"/>
      <c r="N48" s="1316" t="str">
        <f t="shared" si="0"/>
        <v/>
      </c>
      <c r="O48" s="1323"/>
      <c r="P48" s="1323"/>
      <c r="Q48" s="1323"/>
      <c r="R48" s="1323"/>
      <c r="S48" s="1323"/>
      <c r="T48" s="1323"/>
      <c r="U48" s="1323"/>
    </row>
    <row r="49" spans="1:21" ht="34.5" hidden="1" customHeight="1" x14ac:dyDescent="0.25">
      <c r="A49" s="1324" t="s">
        <v>983</v>
      </c>
      <c r="B49" s="1310" t="s">
        <v>114</v>
      </c>
      <c r="C49" s="1334" t="s">
        <v>976</v>
      </c>
      <c r="D49" s="1319" t="s">
        <v>931</v>
      </c>
      <c r="E49" s="1335" t="s">
        <v>972</v>
      </c>
      <c r="F49" s="1336" t="s">
        <v>955</v>
      </c>
      <c r="G49" s="1336" t="s">
        <v>955</v>
      </c>
      <c r="H49" s="1321"/>
      <c r="I49" s="1321" t="s">
        <v>977</v>
      </c>
      <c r="J49" s="1321"/>
      <c r="K49" s="1321">
        <v>10</v>
      </c>
      <c r="L49" s="1333" t="s">
        <v>960</v>
      </c>
      <c r="M49" s="1333"/>
      <c r="N49" s="1316" t="str">
        <f t="shared" si="0"/>
        <v/>
      </c>
      <c r="O49" s="1323"/>
      <c r="P49" s="1323"/>
      <c r="Q49" s="1323"/>
      <c r="R49" s="1323"/>
      <c r="S49" s="1323"/>
      <c r="T49" s="1323"/>
      <c r="U49" s="1323"/>
    </row>
    <row r="50" spans="1:21" ht="34.5" hidden="1" customHeight="1" x14ac:dyDescent="0.25">
      <c r="A50" s="1309" t="s">
        <v>984</v>
      </c>
      <c r="B50" s="1310" t="s">
        <v>114</v>
      </c>
      <c r="C50" s="1334" t="s">
        <v>980</v>
      </c>
      <c r="D50" s="1325" t="s">
        <v>931</v>
      </c>
      <c r="E50" s="1335" t="s">
        <v>972</v>
      </c>
      <c r="F50" s="1336" t="s">
        <v>955</v>
      </c>
      <c r="G50" s="1336" t="s">
        <v>955</v>
      </c>
      <c r="H50" s="1321"/>
      <c r="I50" s="1321" t="s">
        <v>977</v>
      </c>
      <c r="J50" s="1321"/>
      <c r="K50" s="1321">
        <v>20</v>
      </c>
      <c r="L50" s="1333"/>
      <c r="M50" s="1333"/>
      <c r="N50" s="1316" t="str">
        <f t="shared" si="0"/>
        <v/>
      </c>
      <c r="O50" s="1323"/>
      <c r="P50" s="1323"/>
      <c r="Q50" s="1323"/>
      <c r="R50" s="1323"/>
      <c r="S50" s="1323"/>
      <c r="T50" s="1323"/>
      <c r="U50" s="1323"/>
    </row>
    <row r="51" spans="1:21" ht="34.5" hidden="1" customHeight="1" x14ac:dyDescent="0.25">
      <c r="A51" s="1361" t="s">
        <v>985</v>
      </c>
      <c r="B51" s="1353" t="s">
        <v>114</v>
      </c>
      <c r="C51" s="1334" t="s">
        <v>976</v>
      </c>
      <c r="D51" s="1346" t="s">
        <v>931</v>
      </c>
      <c r="E51" s="1335" t="s">
        <v>972</v>
      </c>
      <c r="F51" s="1336" t="s">
        <v>955</v>
      </c>
      <c r="G51" s="1336" t="s">
        <v>955</v>
      </c>
      <c r="H51" s="1348"/>
      <c r="I51" s="1321" t="s">
        <v>977</v>
      </c>
      <c r="J51" s="1348"/>
      <c r="K51" s="1348">
        <v>20</v>
      </c>
      <c r="L51" s="1349"/>
      <c r="M51" s="1349"/>
      <c r="N51" s="1316" t="str">
        <f t="shared" si="0"/>
        <v/>
      </c>
      <c r="O51" s="1350"/>
      <c r="P51" s="1350"/>
      <c r="Q51" s="1350"/>
      <c r="R51" s="1350"/>
      <c r="S51" s="1350"/>
      <c r="T51" s="1350"/>
      <c r="U51" s="1350"/>
    </row>
    <row r="52" spans="1:21" ht="34.5" hidden="1" customHeight="1" x14ac:dyDescent="0.25">
      <c r="A52" s="1309" t="s">
        <v>986</v>
      </c>
      <c r="B52" s="1326" t="s">
        <v>114</v>
      </c>
      <c r="C52" s="1334" t="s">
        <v>980</v>
      </c>
      <c r="D52" s="1328" t="s">
        <v>931</v>
      </c>
      <c r="E52" s="1335" t="s">
        <v>972</v>
      </c>
      <c r="F52" s="1336" t="s">
        <v>955</v>
      </c>
      <c r="G52" s="1336" t="s">
        <v>955</v>
      </c>
      <c r="H52" s="1330"/>
      <c r="I52" s="1321" t="s">
        <v>977</v>
      </c>
      <c r="J52" s="1330"/>
      <c r="K52" s="1330">
        <v>100</v>
      </c>
      <c r="L52" s="1362"/>
      <c r="M52" s="1362"/>
      <c r="N52" s="1316" t="str">
        <f t="shared" si="0"/>
        <v/>
      </c>
      <c r="O52" s="1332"/>
      <c r="P52" s="1332"/>
      <c r="Q52" s="1332"/>
      <c r="R52" s="1332"/>
      <c r="S52" s="1332"/>
      <c r="T52" s="1332"/>
      <c r="U52" s="1332"/>
    </row>
    <row r="53" spans="1:21" ht="34.5" hidden="1" customHeight="1" x14ac:dyDescent="0.25">
      <c r="A53" s="1309" t="s">
        <v>987</v>
      </c>
      <c r="B53" s="1310" t="s">
        <v>114</v>
      </c>
      <c r="C53" s="1334" t="s">
        <v>988</v>
      </c>
      <c r="D53" s="1325" t="s">
        <v>933</v>
      </c>
      <c r="E53" s="1335" t="s">
        <v>972</v>
      </c>
      <c r="F53" s="1336" t="s">
        <v>955</v>
      </c>
      <c r="G53" s="1336" t="s">
        <v>955</v>
      </c>
      <c r="H53" s="1321"/>
      <c r="I53" s="1321" t="s">
        <v>977</v>
      </c>
      <c r="J53" s="1321"/>
      <c r="K53" s="1321"/>
      <c r="L53" s="1333"/>
      <c r="M53" s="1333"/>
      <c r="N53" s="1316" t="str">
        <f t="shared" si="0"/>
        <v/>
      </c>
      <c r="O53" s="1323"/>
      <c r="P53" s="1323"/>
      <c r="Q53" s="1323"/>
      <c r="R53" s="1323"/>
      <c r="S53" s="1323"/>
      <c r="T53" s="1323"/>
      <c r="U53" s="1323"/>
    </row>
    <row r="54" spans="1:21" ht="34.5" hidden="1" customHeight="1" x14ac:dyDescent="0.25">
      <c r="A54" s="1309" t="s">
        <v>989</v>
      </c>
      <c r="B54" s="1310" t="s">
        <v>114</v>
      </c>
      <c r="C54" s="1334" t="s">
        <v>990</v>
      </c>
      <c r="D54" s="1325" t="s">
        <v>933</v>
      </c>
      <c r="E54" s="1335" t="s">
        <v>972</v>
      </c>
      <c r="F54" s="1336" t="s">
        <v>955</v>
      </c>
      <c r="G54" s="1336" t="s">
        <v>955</v>
      </c>
      <c r="H54" s="1321"/>
      <c r="I54" s="1321" t="s">
        <v>977</v>
      </c>
      <c r="J54" s="1321"/>
      <c r="K54" s="1321"/>
      <c r="L54" s="1333"/>
      <c r="M54" s="1333"/>
      <c r="N54" s="1316" t="str">
        <f t="shared" si="0"/>
        <v/>
      </c>
      <c r="O54" s="1323"/>
      <c r="P54" s="1323"/>
      <c r="Q54" s="1323"/>
      <c r="R54" s="1323"/>
      <c r="S54" s="1323"/>
      <c r="T54" s="1323"/>
      <c r="U54" s="1323"/>
    </row>
    <row r="55" spans="1:21" ht="34.5" hidden="1" customHeight="1" x14ac:dyDescent="0.25">
      <c r="A55" s="1309" t="s">
        <v>991</v>
      </c>
      <c r="B55" s="1310" t="s">
        <v>992</v>
      </c>
      <c r="C55" s="1334" t="s">
        <v>993</v>
      </c>
      <c r="D55" s="1325" t="s">
        <v>933</v>
      </c>
      <c r="E55" s="1335" t="s">
        <v>972</v>
      </c>
      <c r="F55" s="1336" t="s">
        <v>955</v>
      </c>
      <c r="G55" s="1336" t="s">
        <v>955</v>
      </c>
      <c r="H55" s="1321"/>
      <c r="I55" s="1321" t="s">
        <v>977</v>
      </c>
      <c r="J55" s="1321"/>
      <c r="K55" s="1321"/>
      <c r="L55" s="1333"/>
      <c r="M55" s="1333"/>
      <c r="N55" s="1316" t="str">
        <f t="shared" si="0"/>
        <v/>
      </c>
      <c r="O55" s="1323"/>
      <c r="P55" s="1323"/>
      <c r="Q55" s="1323"/>
      <c r="R55" s="1323"/>
      <c r="S55" s="1323"/>
      <c r="T55" s="1323"/>
      <c r="U55" s="1323"/>
    </row>
    <row r="56" spans="1:21" ht="34.5" hidden="1" customHeight="1" x14ac:dyDescent="0.25">
      <c r="A56" s="1309" t="s">
        <v>994</v>
      </c>
      <c r="B56" s="1310" t="s">
        <v>363</v>
      </c>
      <c r="C56" s="1334" t="s">
        <v>995</v>
      </c>
      <c r="D56" s="1325" t="s">
        <v>931</v>
      </c>
      <c r="E56" s="1335" t="s">
        <v>249</v>
      </c>
      <c r="F56" s="1336" t="s">
        <v>955</v>
      </c>
      <c r="G56" s="1336" t="s">
        <v>955</v>
      </c>
      <c r="H56" s="1336">
        <v>100</v>
      </c>
      <c r="I56" s="1336">
        <v>100</v>
      </c>
      <c r="J56" s="1321" t="s">
        <v>996</v>
      </c>
      <c r="K56" s="1321">
        <v>100</v>
      </c>
      <c r="L56" s="1333" t="s">
        <v>957</v>
      </c>
      <c r="M56" s="1333"/>
      <c r="N56" s="1316" t="str">
        <f t="shared" si="0"/>
        <v/>
      </c>
      <c r="O56" s="1323"/>
      <c r="P56" s="1323"/>
      <c r="Q56" s="1323"/>
      <c r="R56" s="1323"/>
      <c r="S56" s="1323"/>
      <c r="T56" s="1323"/>
      <c r="U56" s="1323"/>
    </row>
    <row r="57" spans="1:21" ht="34.5" hidden="1" customHeight="1" x14ac:dyDescent="0.25">
      <c r="A57" s="1309" t="s">
        <v>997</v>
      </c>
      <c r="B57" s="1310" t="s">
        <v>363</v>
      </c>
      <c r="C57" s="1334" t="s">
        <v>998</v>
      </c>
      <c r="D57" s="1325" t="s">
        <v>933</v>
      </c>
      <c r="E57" s="1335" t="s">
        <v>249</v>
      </c>
      <c r="F57" s="1336" t="s">
        <v>955</v>
      </c>
      <c r="G57" s="1336" t="s">
        <v>955</v>
      </c>
      <c r="H57" s="1336">
        <v>100</v>
      </c>
      <c r="I57" s="1321" t="s">
        <v>977</v>
      </c>
      <c r="J57" s="1321"/>
      <c r="K57" s="1321">
        <v>100</v>
      </c>
      <c r="L57" s="1333" t="s">
        <v>957</v>
      </c>
      <c r="M57" s="1333"/>
      <c r="N57" s="1316" t="str">
        <f t="shared" si="0"/>
        <v/>
      </c>
      <c r="O57" s="1323"/>
      <c r="P57" s="1323"/>
      <c r="Q57" s="1323"/>
      <c r="R57" s="1323"/>
      <c r="S57" s="1323"/>
      <c r="T57" s="1323"/>
      <c r="U57" s="1323"/>
    </row>
    <row r="58" spans="1:21" ht="34.5" hidden="1" customHeight="1" x14ac:dyDescent="0.25">
      <c r="A58" s="1309" t="s">
        <v>999</v>
      </c>
      <c r="B58" s="1310" t="s">
        <v>1000</v>
      </c>
      <c r="C58" s="1334" t="s">
        <v>1001</v>
      </c>
      <c r="D58" s="1325" t="s">
        <v>931</v>
      </c>
      <c r="E58" s="1335" t="s">
        <v>972</v>
      </c>
      <c r="F58" s="1336" t="s">
        <v>955</v>
      </c>
      <c r="G58" s="1336" t="s">
        <v>955</v>
      </c>
      <c r="H58" s="1321">
        <v>100</v>
      </c>
      <c r="I58" s="1321" t="s">
        <v>977</v>
      </c>
      <c r="J58" s="1321"/>
      <c r="K58" s="1321">
        <v>100</v>
      </c>
      <c r="L58" s="1333" t="s">
        <v>957</v>
      </c>
      <c r="M58" s="1333"/>
      <c r="N58" s="1316" t="str">
        <f t="shared" si="0"/>
        <v/>
      </c>
      <c r="O58" s="1323"/>
      <c r="P58" s="1323"/>
      <c r="Q58" s="1323"/>
      <c r="R58" s="1323"/>
      <c r="S58" s="1323"/>
      <c r="T58" s="1323"/>
      <c r="U58" s="1323"/>
    </row>
    <row r="59" spans="1:21" ht="34.5" hidden="1" customHeight="1" thickBot="1" x14ac:dyDescent="0.3">
      <c r="A59" s="1363" t="s">
        <v>1002</v>
      </c>
      <c r="B59" s="1364" t="s">
        <v>1000</v>
      </c>
      <c r="C59" s="1365" t="s">
        <v>1003</v>
      </c>
      <c r="D59" s="1366" t="s">
        <v>933</v>
      </c>
      <c r="E59" s="1367" t="s">
        <v>249</v>
      </c>
      <c r="F59" s="1368" t="s">
        <v>955</v>
      </c>
      <c r="G59" s="1368" t="s">
        <v>955</v>
      </c>
      <c r="H59" s="1369"/>
      <c r="I59" s="1321" t="s">
        <v>977</v>
      </c>
      <c r="J59" s="1369"/>
      <c r="K59" s="1369">
        <v>0</v>
      </c>
      <c r="L59" s="1370" t="s">
        <v>960</v>
      </c>
      <c r="M59" s="1370"/>
      <c r="N59" s="1316" t="str">
        <f t="shared" si="0"/>
        <v/>
      </c>
      <c r="O59" s="1371"/>
      <c r="P59" s="1371"/>
      <c r="Q59" s="1371"/>
      <c r="R59" s="1371"/>
      <c r="S59" s="1371"/>
      <c r="T59" s="1371"/>
      <c r="U59" s="1371"/>
    </row>
  </sheetData>
  <autoFilter ref="A6:U59">
    <filterColumn colId="5">
      <filters>
        <filter val="Juan A. Anguita"/>
      </filters>
    </filterColumn>
    <filterColumn colId="12" showButton="0"/>
  </autoFilter>
  <mergeCells count="1">
    <mergeCell ref="M6:N6"/>
  </mergeCells>
  <conditionalFormatting sqref="N7:N59">
    <cfRule type="cellIs" dxfId="77" priority="2" operator="equal">
      <formula>"L"</formula>
    </cfRule>
    <cfRule type="cellIs" dxfId="76" priority="3" operator="equal">
      <formula>"J"</formula>
    </cfRule>
  </conditionalFormatting>
  <conditionalFormatting sqref="N7:N59">
    <cfRule type="cellIs" dxfId="75" priority="1" operator="equal">
      <formula>"K"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71681" r:id="rId4">
          <objectPr defaultSize="0" autoPict="0" r:id="rId5">
            <anchor moveWithCells="1" sizeWithCells="1">
              <from>
                <xdr:col>0</xdr:col>
                <xdr:colOff>1200150</xdr:colOff>
                <xdr:row>0</xdr:row>
                <xdr:rowOff>180975</xdr:rowOff>
              </from>
              <to>
                <xdr:col>0</xdr:col>
                <xdr:colOff>3371850</xdr:colOff>
                <xdr:row>4</xdr:row>
                <xdr:rowOff>0</xdr:rowOff>
              </to>
            </anchor>
          </objectPr>
        </oleObject>
      </mc:Choice>
      <mc:Fallback>
        <oleObject progId="MSPhotoEd.3" shapeId="7168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00B0F0"/>
    <pageSetUpPr fitToPage="1"/>
  </sheetPr>
  <dimension ref="A1:S48"/>
  <sheetViews>
    <sheetView zoomScale="57" zoomScaleNormal="5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8" sqref="F18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1" bestFit="1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8"/>
      <c r="F1" s="1686" t="s">
        <v>1084</v>
      </c>
      <c r="G1" s="1686"/>
      <c r="H1" s="1686"/>
      <c r="I1" s="1686"/>
      <c r="J1" s="1686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N3" s="89"/>
    </row>
    <row r="4" spans="1:19" x14ac:dyDescent="0.25">
      <c r="M4" t="s">
        <v>86</v>
      </c>
      <c r="N4">
        <v>4</v>
      </c>
    </row>
    <row r="5" spans="1:19" ht="15.75" thickBot="1" x14ac:dyDescent="0.3"/>
    <row r="6" spans="1:19" ht="24" customHeight="1" thickTop="1" x14ac:dyDescent="0.25">
      <c r="A6" s="337" t="s">
        <v>87</v>
      </c>
      <c r="B6" s="339" t="s">
        <v>337</v>
      </c>
      <c r="C6" s="338" t="s">
        <v>88</v>
      </c>
      <c r="D6" s="338" t="s">
        <v>664</v>
      </c>
      <c r="E6" s="338" t="s">
        <v>89</v>
      </c>
      <c r="F6" s="338" t="s">
        <v>83</v>
      </c>
      <c r="G6" s="338" t="s">
        <v>90</v>
      </c>
      <c r="H6" s="339" t="s">
        <v>0</v>
      </c>
      <c r="I6" s="339" t="s">
        <v>1</v>
      </c>
      <c r="J6" s="339" t="s">
        <v>2</v>
      </c>
      <c r="K6" s="339" t="s">
        <v>3</v>
      </c>
      <c r="L6" s="339" t="s">
        <v>4</v>
      </c>
      <c r="M6" s="339" t="s">
        <v>5</v>
      </c>
      <c r="N6" s="339" t="s">
        <v>6</v>
      </c>
      <c r="O6" s="339" t="s">
        <v>7</v>
      </c>
      <c r="P6" s="339" t="s">
        <v>8</v>
      </c>
      <c r="Q6" s="339" t="s">
        <v>9</v>
      </c>
      <c r="R6" s="339" t="s">
        <v>10</v>
      </c>
      <c r="S6" s="340" t="s">
        <v>11</v>
      </c>
    </row>
    <row r="7" spans="1:19" ht="24" customHeight="1" x14ac:dyDescent="0.3">
      <c r="A7" s="525" t="s">
        <v>125</v>
      </c>
      <c r="B7" s="362" t="s">
        <v>338</v>
      </c>
      <c r="C7" s="362" t="s">
        <v>91</v>
      </c>
      <c r="D7" s="697" t="s">
        <v>665</v>
      </c>
      <c r="E7" s="698">
        <v>0.15</v>
      </c>
      <c r="F7" s="362" t="s">
        <v>92</v>
      </c>
      <c r="G7" s="363" t="s">
        <v>93</v>
      </c>
      <c r="H7" s="708"/>
      <c r="I7" s="708"/>
      <c r="J7" s="470">
        <f>'MATG-JGS-JAAR AÑO (LINARES)'!E10</f>
        <v>0.19435262503818951</v>
      </c>
      <c r="K7" s="708"/>
      <c r="L7" s="708"/>
      <c r="M7" s="470">
        <f>'MATG-JGS-JAAR AÑO (LINARES)'!H10</f>
        <v>0.16514929296117295</v>
      </c>
      <c r="N7" s="708"/>
      <c r="O7" s="708"/>
      <c r="P7" s="470">
        <f>'MATG-JGS-JAAR AÑO (LINARES)'!K10</f>
        <v>0.1552150875022254</v>
      </c>
      <c r="Q7" s="708"/>
      <c r="R7" s="708"/>
      <c r="S7" s="709">
        <f>'MATG-JGS-JAAR AÑO (LINARES)'!N10</f>
        <v>0.13578814003728371</v>
      </c>
    </row>
    <row r="8" spans="1:19" ht="24" customHeight="1" x14ac:dyDescent="0.3">
      <c r="A8" s="365" t="s">
        <v>94</v>
      </c>
      <c r="B8" s="464" t="s">
        <v>339</v>
      </c>
      <c r="C8" s="464" t="s">
        <v>91</v>
      </c>
      <c r="D8" s="699" t="s">
        <v>666</v>
      </c>
      <c r="E8" s="700">
        <v>0.17</v>
      </c>
      <c r="F8" s="464" t="s">
        <v>92</v>
      </c>
      <c r="G8" s="465" t="s">
        <v>93</v>
      </c>
      <c r="H8" s="465"/>
      <c r="I8" s="465"/>
      <c r="J8" s="710">
        <f>'MATG-JGS-JAAR AÑO (LINARES)'!E20</f>
        <v>5.7247040976582016E-2</v>
      </c>
      <c r="K8" s="465"/>
      <c r="L8" s="465"/>
      <c r="M8" s="710">
        <f>'MATG-JGS-JAAR AÑO (LINARES)'!H20</f>
        <v>5.332458152741501E-2</v>
      </c>
      <c r="N8" s="465"/>
      <c r="O8" s="465"/>
      <c r="P8" s="710">
        <f>'MATG-JGS-JAAR AÑO (LINARES)'!K20</f>
        <v>5.0478290064603137E-2</v>
      </c>
      <c r="Q8" s="465"/>
      <c r="R8" s="465"/>
      <c r="S8" s="711">
        <f>'MATG-JGS-JAAR AÑO (LINARES)'!N20</f>
        <v>5.3606326932775096E-2</v>
      </c>
    </row>
    <row r="9" spans="1:19" ht="24" customHeight="1" x14ac:dyDescent="0.3">
      <c r="A9" s="365" t="s">
        <v>340</v>
      </c>
      <c r="B9" s="362" t="s">
        <v>339</v>
      </c>
      <c r="C9" s="362" t="s">
        <v>91</v>
      </c>
      <c r="D9" s="697" t="s">
        <v>667</v>
      </c>
      <c r="E9" s="698">
        <v>0.43</v>
      </c>
      <c r="F9" s="362" t="s">
        <v>92</v>
      </c>
      <c r="G9" s="363" t="s">
        <v>98</v>
      </c>
      <c r="H9" s="470">
        <f>DATOS!D247</f>
        <v>0.35757920380055386</v>
      </c>
      <c r="I9" s="470">
        <f>DATOS!H247</f>
        <v>0.50587448356895981</v>
      </c>
      <c r="J9" s="470">
        <f>DATOS!L247</f>
        <v>0.34449623609227165</v>
      </c>
      <c r="K9" s="470">
        <f>DATOS!P247</f>
        <v>0.45071720785281499</v>
      </c>
      <c r="L9" s="470">
        <f>DATOS!T247</f>
        <v>0.36761289753793241</v>
      </c>
      <c r="M9" s="470">
        <f>DATOS!X247</f>
        <v>0.27600701742119926</v>
      </c>
      <c r="N9" s="470">
        <f>DATOS!AB247</f>
        <v>0.28107280988156841</v>
      </c>
      <c r="O9" s="712">
        <f>DATOS!AF247</f>
        <v>2.0484535254098999</v>
      </c>
      <c r="P9" s="470">
        <f>DATOS!AJ247</f>
        <v>0.29299465636053457</v>
      </c>
      <c r="Q9" s="470">
        <f>DATOS!AN247</f>
        <v>0.27767492985716574</v>
      </c>
      <c r="R9" s="470">
        <f>DATOS!AR247</f>
        <v>0.32255712930134711</v>
      </c>
      <c r="S9" s="709">
        <f>DATOS!AV247</f>
        <v>1.7202853481377871</v>
      </c>
    </row>
    <row r="10" spans="1:19" ht="24" customHeight="1" x14ac:dyDescent="0.3">
      <c r="A10" s="365" t="s">
        <v>341</v>
      </c>
      <c r="B10" s="464" t="s">
        <v>339</v>
      </c>
      <c r="C10" s="464" t="s">
        <v>95</v>
      </c>
      <c r="D10" s="699" t="s">
        <v>665</v>
      </c>
      <c r="E10" s="466">
        <v>2</v>
      </c>
      <c r="F10" s="464" t="s">
        <v>800</v>
      </c>
      <c r="G10" s="465" t="s">
        <v>93</v>
      </c>
      <c r="H10" s="465"/>
      <c r="I10" s="465"/>
      <c r="J10" s="713">
        <f>'MATG-JGS-JAAR AÑO (LINARES)'!E40</f>
        <v>3</v>
      </c>
      <c r="K10" s="465"/>
      <c r="L10" s="465"/>
      <c r="M10" s="713">
        <f>'MATG-JGS-JAAR AÑO (LINARES)'!H40</f>
        <v>3</v>
      </c>
      <c r="N10" s="465"/>
      <c r="O10" s="465"/>
      <c r="P10" s="713">
        <f>'MATG-JGS-JAAR AÑO (LINARES)'!K40</f>
        <v>2</v>
      </c>
      <c r="Q10" s="465"/>
      <c r="R10" s="465"/>
      <c r="S10" s="714">
        <f>'MATG-JGS-JAAR AÑO (LINARES)'!N40</f>
        <v>2</v>
      </c>
    </row>
    <row r="11" spans="1:19" ht="24" customHeight="1" x14ac:dyDescent="0.3">
      <c r="A11" s="525" t="s">
        <v>342</v>
      </c>
      <c r="B11" s="362" t="s">
        <v>338</v>
      </c>
      <c r="C11" s="362" t="s">
        <v>95</v>
      </c>
      <c r="D11" s="697" t="s">
        <v>665</v>
      </c>
      <c r="E11" s="461">
        <v>2</v>
      </c>
      <c r="F11" s="362" t="s">
        <v>800</v>
      </c>
      <c r="G11" s="363" t="s">
        <v>93</v>
      </c>
      <c r="H11" s="708"/>
      <c r="I11" s="708"/>
      <c r="J11" s="715">
        <f>'MATG-JGS-JAAR AÑO (LINARES)'!E49</f>
        <v>0</v>
      </c>
      <c r="K11" s="708"/>
      <c r="L11" s="708"/>
      <c r="M11" s="715">
        <f>'MATG-JGS-JAAR AÑO (LINARES)'!H49</f>
        <v>0</v>
      </c>
      <c r="N11" s="708"/>
      <c r="O11" s="708"/>
      <c r="P11" s="715">
        <f>'MATG-JGS-JAAR AÑO (LINARES)'!K49</f>
        <v>0</v>
      </c>
      <c r="Q11" s="708"/>
      <c r="R11" s="708"/>
      <c r="S11" s="716">
        <f>'MATG-JGS-JAAR AÑO (LINARES)'!N49</f>
        <v>0</v>
      </c>
    </row>
    <row r="12" spans="1:19" ht="24" customHeight="1" x14ac:dyDescent="0.3">
      <c r="A12" s="365" t="s">
        <v>96</v>
      </c>
      <c r="B12" s="468" t="s">
        <v>338</v>
      </c>
      <c r="C12" s="464" t="s">
        <v>97</v>
      </c>
      <c r="D12" s="699" t="s">
        <v>668</v>
      </c>
      <c r="E12" s="700">
        <v>0.02</v>
      </c>
      <c r="F12" s="464" t="s">
        <v>92</v>
      </c>
      <c r="G12" s="465" t="s">
        <v>98</v>
      </c>
      <c r="H12" s="710">
        <f>'MATG-JGS-JAAR AÑO (LINARES)'!C$58</f>
        <v>0.10898408641616997</v>
      </c>
      <c r="I12" s="710">
        <f>'MATG-JGS-JAAR AÑO (LINARES)'!D$58</f>
        <v>0</v>
      </c>
      <c r="J12" s="717">
        <f>'MATG-JGS-JAAR AÑO (LINARES)'!E$58</f>
        <v>0</v>
      </c>
      <c r="K12" s="710">
        <f>'MATG-JGS-JAAR AÑO (LINARES)'!F$58</f>
        <v>0</v>
      </c>
      <c r="L12" s="710">
        <f>'MATG-JGS-JAAR AÑO (LINARES)'!G$58</f>
        <v>0</v>
      </c>
      <c r="M12" s="710">
        <f>'MATG-JGS-JAAR AÑO (LINARES)'!H$58</f>
        <v>0</v>
      </c>
      <c r="N12" s="710">
        <f>'MATG-JGS-JAAR AÑO (LINARES)'!I$58</f>
        <v>0</v>
      </c>
      <c r="O12" s="710">
        <f>'MATG-JGS-JAAR AÑO (LINARES)'!J$58</f>
        <v>0</v>
      </c>
      <c r="P12" s="710">
        <f>'MATG-JGS-JAAR AÑO (LINARES)'!K$58</f>
        <v>0</v>
      </c>
      <c r="Q12" s="710">
        <f>'MATG-JGS-JAAR AÑO (LINARES)'!L$58</f>
        <v>0</v>
      </c>
      <c r="R12" s="710">
        <f>'MATG-JGS-JAAR AÑO (LINARES)'!M$58</f>
        <v>0</v>
      </c>
      <c r="S12" s="711">
        <f>'MATG-JGS-JAAR AÑO (LINARES)'!N$58</f>
        <v>0</v>
      </c>
    </row>
    <row r="13" spans="1:19" ht="24" customHeight="1" x14ac:dyDescent="0.3">
      <c r="A13" s="525" t="s">
        <v>344</v>
      </c>
      <c r="B13" s="362" t="s">
        <v>338</v>
      </c>
      <c r="C13" s="362" t="s">
        <v>345</v>
      </c>
      <c r="D13" s="697" t="s">
        <v>666</v>
      </c>
      <c r="E13" s="461">
        <v>35</v>
      </c>
      <c r="F13" s="362" t="s">
        <v>801</v>
      </c>
      <c r="G13" s="363" t="s">
        <v>98</v>
      </c>
      <c r="H13" s="708">
        <f>'JCC-NLM AÑO (LINARES)'!C$33</f>
        <v>101.38</v>
      </c>
      <c r="I13" s="708">
        <f>'JCC-NLM AÑO (LINARES)'!D$33</f>
        <v>100.13</v>
      </c>
      <c r="J13" s="708">
        <f>'JCC-NLM AÑO (LINARES)'!E$33</f>
        <v>100.68</v>
      </c>
      <c r="K13" s="708">
        <f>'JCC-NLM AÑO (LINARES)'!F$33</f>
        <v>101.2</v>
      </c>
      <c r="L13" s="708">
        <f>'JCC-NLM AÑO (LINARES)'!G$33</f>
        <v>101.37</v>
      </c>
      <c r="M13" s="708">
        <f>'JCC-NLM AÑO (LINARES)'!H$33</f>
        <v>101</v>
      </c>
      <c r="N13" s="708">
        <f>'JCC-NLM AÑO (LINARES)'!I$33</f>
        <v>101</v>
      </c>
      <c r="O13" s="708">
        <f>'JCC-NLM AÑO (LINARES)'!J$33</f>
        <v>102</v>
      </c>
      <c r="P13" s="708">
        <f>'JCC-NLM AÑO (LINARES)'!K$33</f>
        <v>100.1</v>
      </c>
      <c r="Q13" s="708">
        <f>'JCC-NLM AÑO (LINARES)'!L$33</f>
        <v>106</v>
      </c>
      <c r="R13" s="708">
        <f>'JCC-NLM AÑO (LINARES)'!M$33</f>
        <v>103</v>
      </c>
      <c r="S13" s="718">
        <f>'JCC-NLM AÑO (LINARES)'!N$33</f>
        <v>100.25</v>
      </c>
    </row>
    <row r="14" spans="1:19" ht="24" hidden="1" customHeight="1" x14ac:dyDescent="0.3">
      <c r="A14" s="525" t="s">
        <v>346</v>
      </c>
      <c r="B14" s="467" t="s">
        <v>338</v>
      </c>
      <c r="C14" s="464" t="s">
        <v>345</v>
      </c>
      <c r="D14" s="464"/>
      <c r="E14" s="469">
        <v>0.95</v>
      </c>
      <c r="F14" s="464" t="s">
        <v>110</v>
      </c>
      <c r="G14" s="465" t="s">
        <v>98</v>
      </c>
      <c r="H14" s="710" t="e">
        <f>'JCC-NLM AÑO (LINARES)'!#REF!</f>
        <v>#REF!</v>
      </c>
      <c r="I14" s="710" t="e">
        <f>'JCC-NLM AÑO (LINARES)'!#REF!</f>
        <v>#REF!</v>
      </c>
      <c r="J14" s="710" t="e">
        <f>'JCC-NLM AÑO (LINARES)'!#REF!</f>
        <v>#REF!</v>
      </c>
      <c r="K14" s="710" t="e">
        <f>'JCC-NLM AÑO (LINARES)'!#REF!</f>
        <v>#REF!</v>
      </c>
      <c r="L14" s="710" t="e">
        <f>'JCC-NLM AÑO (LINARES)'!#REF!</f>
        <v>#REF!</v>
      </c>
      <c r="M14" s="710" t="e">
        <f>'JCC-NLM AÑO (LINARES)'!#REF!</f>
        <v>#REF!</v>
      </c>
      <c r="N14" s="710" t="e">
        <f>'JCC-NLM AÑO (LINARES)'!#REF!</f>
        <v>#REF!</v>
      </c>
      <c r="O14" s="710" t="e">
        <f>'JCC-NLM AÑO (LINARES)'!#REF!</f>
        <v>#REF!</v>
      </c>
      <c r="P14" s="710" t="e">
        <f>'JCC-NLM AÑO (LINARES)'!#REF!</f>
        <v>#REF!</v>
      </c>
      <c r="Q14" s="710" t="e">
        <f>'JCC-NLM AÑO (LINARES)'!#REF!</f>
        <v>#REF!</v>
      </c>
      <c r="R14" s="710" t="e">
        <f>'JCC-NLM AÑO (LINARES)'!#REF!</f>
        <v>#REF!</v>
      </c>
      <c r="S14" s="711" t="e">
        <f>'JCC-NLM AÑO (LINARES)'!#REF!</f>
        <v>#REF!</v>
      </c>
    </row>
    <row r="15" spans="1:19" ht="24" customHeight="1" x14ac:dyDescent="0.3">
      <c r="A15" s="365" t="s">
        <v>99</v>
      </c>
      <c r="B15" s="364" t="s">
        <v>338</v>
      </c>
      <c r="C15" s="364" t="s">
        <v>100</v>
      </c>
      <c r="D15" s="701" t="s">
        <v>666</v>
      </c>
      <c r="E15" s="698">
        <v>0.15</v>
      </c>
      <c r="F15" s="364" t="s">
        <v>101</v>
      </c>
      <c r="G15" s="470" t="s">
        <v>98</v>
      </c>
      <c r="H15" s="470">
        <f>'RSB (LINARES)'!C$28</f>
        <v>7.575757575757576E-2</v>
      </c>
      <c r="I15" s="470">
        <f>'RSB (LINARES)'!D$28</f>
        <v>7.2992700729927001E-2</v>
      </c>
      <c r="J15" s="470">
        <f>'RSB (LINARES)'!E$28</f>
        <v>7.4515648286140101E-2</v>
      </c>
      <c r="K15" s="470">
        <f>'RSB (LINARES)'!F$28</f>
        <v>7.8125E-2</v>
      </c>
      <c r="L15" s="470">
        <f>'RSB (LINARES)'!G$28</f>
        <v>7.6616610481152328E-2</v>
      </c>
      <c r="M15" s="470">
        <f>'RSB (LINARES)'!H$28</f>
        <v>7.1709261968275817E-2</v>
      </c>
      <c r="N15" s="470">
        <f>'RSB (LINARES)'!I$28</f>
        <v>6.5651260504201669E-2</v>
      </c>
      <c r="O15" s="470">
        <f>'RSB (LINARES)'!J$28</f>
        <v>6.6666666666666666E-2</v>
      </c>
      <c r="P15" s="470">
        <f>'RSB (LINARES)'!K$28</f>
        <v>6.4935064935064929E-2</v>
      </c>
      <c r="Q15" s="470">
        <f>'RSB (LINARES)'!L$28</f>
        <v>6.541077969649399E-2</v>
      </c>
      <c r="R15" s="470">
        <f>'RSB (LINARES)'!M$28</f>
        <v>6.6401062416998669E-2</v>
      </c>
      <c r="S15" s="709">
        <f>'RSB (LINARES)'!N$28</f>
        <v>6.7787418655097603E-2</v>
      </c>
    </row>
    <row r="16" spans="1:19" ht="24" customHeight="1" x14ac:dyDescent="0.3">
      <c r="A16" s="365" t="s">
        <v>102</v>
      </c>
      <c r="B16" s="468" t="s">
        <v>338</v>
      </c>
      <c r="C16" s="464" t="s">
        <v>100</v>
      </c>
      <c r="D16" s="699" t="s">
        <v>666</v>
      </c>
      <c r="E16" s="700">
        <v>0.6</v>
      </c>
      <c r="F16" s="464" t="s">
        <v>101</v>
      </c>
      <c r="G16" s="465" t="s">
        <v>93</v>
      </c>
      <c r="H16" s="719"/>
      <c r="I16" s="719"/>
      <c r="J16" s="710">
        <f>'RSB (LINARES)'!E38</f>
        <v>0.56795634920634919</v>
      </c>
      <c r="K16" s="719"/>
      <c r="L16" s="719"/>
      <c r="M16" s="710">
        <f>'RSB (LINARES)'!H38</f>
        <v>0.60305750153277116</v>
      </c>
      <c r="N16" s="719"/>
      <c r="O16" s="719"/>
      <c r="P16" s="710">
        <f>'RSB (LINARES)'!K38</f>
        <v>0.52594670406732114</v>
      </c>
      <c r="Q16" s="719"/>
      <c r="R16" s="719"/>
      <c r="S16" s="711">
        <f>'RSB (LINARES)'!N38</f>
        <v>0.53215077605321504</v>
      </c>
    </row>
    <row r="17" spans="1:19" ht="24" customHeight="1" x14ac:dyDescent="0.3">
      <c r="A17" s="365" t="s">
        <v>103</v>
      </c>
      <c r="B17" s="462" t="s">
        <v>338</v>
      </c>
      <c r="C17" s="362" t="s">
        <v>100</v>
      </c>
      <c r="D17" s="697" t="s">
        <v>666</v>
      </c>
      <c r="E17" s="698">
        <v>0.04</v>
      </c>
      <c r="F17" s="362" t="s">
        <v>101</v>
      </c>
      <c r="G17" s="363" t="s">
        <v>98</v>
      </c>
      <c r="H17" s="720">
        <f>'RSB (LINARES)'!C$47</f>
        <v>0</v>
      </c>
      <c r="I17" s="720">
        <f>'RSB (LINARES)'!D$47</f>
        <v>0</v>
      </c>
      <c r="J17" s="470">
        <f>'RSB (LINARES)'!E$47</f>
        <v>0</v>
      </c>
      <c r="K17" s="720">
        <f>'RSB (LINARES)'!F$47</f>
        <v>0</v>
      </c>
      <c r="L17" s="470">
        <f>'RSB (LINARES)'!G$47</f>
        <v>0</v>
      </c>
      <c r="M17" s="470">
        <f>'RSB (LINARES)'!H$47</f>
        <v>0</v>
      </c>
      <c r="N17" s="470">
        <f>'RSB (LINARES)'!I$47</f>
        <v>0</v>
      </c>
      <c r="O17" s="470">
        <f>'RSB (LINARES)'!J$47</f>
        <v>0</v>
      </c>
      <c r="P17" s="470">
        <f>'RSB (LINARES)'!K$47</f>
        <v>0</v>
      </c>
      <c r="Q17" s="470">
        <f>'RSB (LINARES)'!L$47</f>
        <v>0</v>
      </c>
      <c r="R17" s="470">
        <f>'RSB (LINARES)'!M$47</f>
        <v>0</v>
      </c>
      <c r="S17" s="709">
        <f>'RSB (LINARES)'!N$47</f>
        <v>0</v>
      </c>
    </row>
    <row r="18" spans="1:19" ht="24" customHeight="1" x14ac:dyDescent="0.3">
      <c r="A18" s="365" t="s">
        <v>104</v>
      </c>
      <c r="B18" s="468" t="s">
        <v>338</v>
      </c>
      <c r="C18" s="464" t="s">
        <v>100</v>
      </c>
      <c r="D18" s="699" t="s">
        <v>666</v>
      </c>
      <c r="E18" s="466">
        <v>0</v>
      </c>
      <c r="F18" s="464" t="s">
        <v>101</v>
      </c>
      <c r="G18" s="465" t="s">
        <v>98</v>
      </c>
      <c r="H18" s="713">
        <f>'RSB (LINARES)'!C$54</f>
        <v>0</v>
      </c>
      <c r="I18" s="713">
        <f>'RSB (LINARES)'!D$54</f>
        <v>0</v>
      </c>
      <c r="J18" s="713">
        <f>'RSB (LINARES)'!E$54</f>
        <v>0</v>
      </c>
      <c r="K18" s="713">
        <f>'RSB (LINARES)'!F$54</f>
        <v>0</v>
      </c>
      <c r="L18" s="713">
        <f>'RSB (LINARES)'!G$54</f>
        <v>0</v>
      </c>
      <c r="M18" s="713">
        <f>'RSB (LINARES)'!H$54</f>
        <v>0</v>
      </c>
      <c r="N18" s="713">
        <f>'RSB (LINARES)'!I$54</f>
        <v>0</v>
      </c>
      <c r="O18" s="713">
        <f>'RSB (LINARES)'!J$54</f>
        <v>0</v>
      </c>
      <c r="P18" s="713">
        <f>'RSB (LINARES)'!K$54</f>
        <v>0</v>
      </c>
      <c r="Q18" s="713">
        <f>'RSB (LINARES)'!L$54</f>
        <v>0</v>
      </c>
      <c r="R18" s="713">
        <f>'RSB (LINARES)'!M$54</f>
        <v>0</v>
      </c>
      <c r="S18" s="714">
        <f>'RSB (LINARES)'!N$54</f>
        <v>0</v>
      </c>
    </row>
    <row r="19" spans="1:19" ht="24" customHeight="1" x14ac:dyDescent="0.3">
      <c r="A19" s="365" t="s">
        <v>105</v>
      </c>
      <c r="B19" s="462" t="s">
        <v>339</v>
      </c>
      <c r="C19" s="362" t="s">
        <v>100</v>
      </c>
      <c r="D19" s="697" t="s">
        <v>666</v>
      </c>
      <c r="E19" s="698">
        <v>0.06</v>
      </c>
      <c r="F19" s="362" t="s">
        <v>101</v>
      </c>
      <c r="G19" s="363" t="s">
        <v>93</v>
      </c>
      <c r="H19" s="708"/>
      <c r="I19" s="708"/>
      <c r="J19" s="470">
        <f>'RSB (LINARES)'!E19</f>
        <v>1.35E-2</v>
      </c>
      <c r="K19" s="708"/>
      <c r="L19" s="708"/>
      <c r="M19" s="470">
        <f>'RSB (LINARES)'!H19</f>
        <v>4.7999999999999996E-3</v>
      </c>
      <c r="N19" s="708"/>
      <c r="O19" s="708"/>
      <c r="P19" s="470">
        <f>'RSB (LINARES)'!K19</f>
        <v>1.3599999999999999E-2</v>
      </c>
      <c r="Q19" s="708"/>
      <c r="R19" s="708"/>
      <c r="S19" s="709">
        <f>'RSB (LINARES)'!N19</f>
        <v>3.2599999999999997E-2</v>
      </c>
    </row>
    <row r="20" spans="1:19" ht="24" customHeight="1" x14ac:dyDescent="0.3">
      <c r="A20" s="365" t="s">
        <v>106</v>
      </c>
      <c r="B20" s="468" t="s">
        <v>338</v>
      </c>
      <c r="C20" s="464" t="s">
        <v>107</v>
      </c>
      <c r="D20" s="699" t="s">
        <v>668</v>
      </c>
      <c r="E20" s="700">
        <v>0.85</v>
      </c>
      <c r="F20" s="464" t="s">
        <v>101</v>
      </c>
      <c r="G20" s="465" t="s">
        <v>98</v>
      </c>
      <c r="H20" s="721">
        <f>'RSB (LINARES)'!C$61</f>
        <v>1.5</v>
      </c>
      <c r="I20" s="721">
        <f>'RSB (LINARES)'!D$61</f>
        <v>1.5</v>
      </c>
      <c r="J20" s="721">
        <f>'RSB (LINARES)'!E$61</f>
        <v>1.5</v>
      </c>
      <c r="K20" s="721">
        <f>'RSB (LINARES)'!F$61</f>
        <v>1.5</v>
      </c>
      <c r="L20" s="721">
        <f>'RSB (LINARES)'!G$61</f>
        <v>1.5</v>
      </c>
      <c r="M20" s="721">
        <f>'RSB (LINARES)'!H$61</f>
        <v>1</v>
      </c>
      <c r="N20" s="721">
        <f>'RSB (LINARES)'!I$61</f>
        <v>1</v>
      </c>
      <c r="O20" s="721">
        <f>'RSB (LINARES)'!J$61</f>
        <v>1</v>
      </c>
      <c r="P20" s="721">
        <f>'RSB (LINARES)'!K$61</f>
        <v>1</v>
      </c>
      <c r="Q20" s="721">
        <f>'RSB (LINARES)'!L$61</f>
        <v>1</v>
      </c>
      <c r="R20" s="721">
        <f>'RSB (LINARES)'!M$61</f>
        <v>1</v>
      </c>
      <c r="S20" s="722">
        <f>'RSB (LINARES)'!N$61</f>
        <v>1</v>
      </c>
    </row>
    <row r="21" spans="1:19" ht="24" customHeight="1" x14ac:dyDescent="0.3">
      <c r="A21" s="365" t="s">
        <v>108</v>
      </c>
      <c r="B21" s="462" t="s">
        <v>338</v>
      </c>
      <c r="C21" s="362" t="s">
        <v>107</v>
      </c>
      <c r="D21" s="697" t="s">
        <v>668</v>
      </c>
      <c r="E21" s="698">
        <v>0.85</v>
      </c>
      <c r="F21" s="362" t="s">
        <v>101</v>
      </c>
      <c r="G21" s="363" t="s">
        <v>98</v>
      </c>
      <c r="H21" s="723">
        <f>'RSB (LINARES)'!C$68</f>
        <v>1.5</v>
      </c>
      <c r="I21" s="723">
        <f>'RSB (LINARES)'!D$68</f>
        <v>1.5</v>
      </c>
      <c r="J21" s="723">
        <f>'RSB (LINARES)'!E$68</f>
        <v>1.5</v>
      </c>
      <c r="K21" s="723">
        <f>'RSB (LINARES)'!F$68</f>
        <v>1.5</v>
      </c>
      <c r="L21" s="723">
        <f>'RSB (LINARES)'!G$68</f>
        <v>1.5</v>
      </c>
      <c r="M21" s="723">
        <f>'RSB (LINARES)'!H$68</f>
        <v>1</v>
      </c>
      <c r="N21" s="723">
        <f>'RSB (LINARES)'!I$68</f>
        <v>1</v>
      </c>
      <c r="O21" s="723">
        <f>'RSB (LINARES)'!J$68</f>
        <v>1</v>
      </c>
      <c r="P21" s="723">
        <f>'RSB (LINARES)'!K$68</f>
        <v>0.875</v>
      </c>
      <c r="Q21" s="723">
        <f>'RSB (LINARES)'!L$68</f>
        <v>1</v>
      </c>
      <c r="R21" s="723">
        <f>'RSB (LINARES)'!M$68</f>
        <v>1</v>
      </c>
      <c r="S21" s="724">
        <f>'RSB (LINARES)'!N$68</f>
        <v>1</v>
      </c>
    </row>
    <row r="22" spans="1:19" ht="24" customHeight="1" x14ac:dyDescent="0.3">
      <c r="A22" s="365" t="s">
        <v>357</v>
      </c>
      <c r="B22" s="464" t="s">
        <v>339</v>
      </c>
      <c r="C22" s="464" t="s">
        <v>107</v>
      </c>
      <c r="D22" s="699" t="s">
        <v>669</v>
      </c>
      <c r="E22" s="700">
        <v>0.35</v>
      </c>
      <c r="F22" s="464" t="s">
        <v>101</v>
      </c>
      <c r="G22" s="465" t="s">
        <v>93</v>
      </c>
      <c r="H22" s="719"/>
      <c r="I22" s="719"/>
      <c r="J22" s="710">
        <f>'RSB (LINARES)'!E79</f>
        <v>0.25042933902037773</v>
      </c>
      <c r="K22" s="719"/>
      <c r="L22" s="719"/>
      <c r="M22" s="710">
        <f>'RSB (LINARES)'!H79</f>
        <v>0.28034978707966429</v>
      </c>
      <c r="N22" s="719"/>
      <c r="O22" s="719"/>
      <c r="P22" s="710">
        <f>'RSB (LINARES)'!K79</f>
        <v>0.29698950105958316</v>
      </c>
      <c r="Q22" s="719"/>
      <c r="R22" s="719"/>
      <c r="S22" s="711">
        <f>'RSB (LINARES)'!N79</f>
        <v>0.29578755700432569</v>
      </c>
    </row>
    <row r="23" spans="1:19" ht="24" customHeight="1" x14ac:dyDescent="0.3">
      <c r="A23" s="525" t="s">
        <v>358</v>
      </c>
      <c r="B23" s="362" t="s">
        <v>339</v>
      </c>
      <c r="C23" s="362" t="s">
        <v>359</v>
      </c>
      <c r="D23" s="697" t="s">
        <v>668</v>
      </c>
      <c r="E23" s="471">
        <v>1</v>
      </c>
      <c r="F23" s="362" t="s">
        <v>115</v>
      </c>
      <c r="G23" s="363" t="s">
        <v>124</v>
      </c>
      <c r="H23" s="470">
        <f>DATOS!C$54</f>
        <v>0</v>
      </c>
      <c r="I23" s="470">
        <f>DATOS!E$54</f>
        <v>0</v>
      </c>
      <c r="J23" s="470">
        <f>DATOS!G$54</f>
        <v>0</v>
      </c>
      <c r="K23" s="470">
        <f>DATOS!I$54</f>
        <v>0</v>
      </c>
      <c r="L23" s="470">
        <f>DATOS!K$54</f>
        <v>0</v>
      </c>
      <c r="M23" s="470">
        <f>DATOS!M$54</f>
        <v>0</v>
      </c>
      <c r="N23" s="470">
        <f>DATOS!O$54</f>
        <v>0</v>
      </c>
      <c r="O23" s="470">
        <f>DATOS!Q$54</f>
        <v>0</v>
      </c>
      <c r="P23" s="470">
        <f>DATOS!S$54</f>
        <v>0</v>
      </c>
      <c r="Q23" s="470">
        <f>DATOS!U$54</f>
        <v>0</v>
      </c>
      <c r="R23" s="470">
        <f>DATOS!W$54</f>
        <v>0</v>
      </c>
      <c r="S23" s="709">
        <f>DATOS!Y$54</f>
        <v>0</v>
      </c>
    </row>
    <row r="24" spans="1:19" ht="24" customHeight="1" x14ac:dyDescent="0.3">
      <c r="A24" s="525" t="s">
        <v>360</v>
      </c>
      <c r="B24" s="464" t="s">
        <v>338</v>
      </c>
      <c r="C24" s="464" t="s">
        <v>359</v>
      </c>
      <c r="D24" s="741" t="s">
        <v>670</v>
      </c>
      <c r="E24" s="469">
        <v>0</v>
      </c>
      <c r="F24" s="464" t="s">
        <v>115</v>
      </c>
      <c r="G24" s="465" t="s">
        <v>124</v>
      </c>
      <c r="H24" s="719"/>
      <c r="I24" s="719"/>
      <c r="J24" s="710"/>
      <c r="K24" s="719"/>
      <c r="L24" s="719"/>
      <c r="M24" s="710"/>
      <c r="N24" s="719"/>
      <c r="O24" s="719"/>
      <c r="P24" s="710"/>
      <c r="Q24" s="719"/>
      <c r="R24" s="719"/>
      <c r="S24" s="711">
        <f>'JNL-MCG AÑO (LINARES)'!C87</f>
        <v>0</v>
      </c>
    </row>
    <row r="25" spans="1:19" ht="24" customHeight="1" x14ac:dyDescent="0.3">
      <c r="A25" s="365" t="s">
        <v>109</v>
      </c>
      <c r="B25" s="362" t="s">
        <v>339</v>
      </c>
      <c r="C25" s="362" t="s">
        <v>112</v>
      </c>
      <c r="D25" s="697" t="s">
        <v>668</v>
      </c>
      <c r="E25" s="702">
        <v>360</v>
      </c>
      <c r="F25" s="362" t="s">
        <v>110</v>
      </c>
      <c r="G25" s="363" t="s">
        <v>98</v>
      </c>
      <c r="H25" s="725">
        <f>'JCC-NLM AÑO (LINARES)'!C$10</f>
        <v>529.91162222222226</v>
      </c>
      <c r="I25" s="726">
        <f>'JCC-NLM AÑO (LINARES)'!D$10</f>
        <v>478.15595555555558</v>
      </c>
      <c r="J25" s="726">
        <f>'JCC-NLM AÑO (LINARES)'!E$10</f>
        <v>515.22086167800455</v>
      </c>
      <c r="K25" s="726">
        <f>'JCC-NLM AÑO (LINARES)'!F$10</f>
        <v>521.78058536585365</v>
      </c>
      <c r="L25" s="726">
        <f>'JCC-NLM AÑO (LINARES)'!G$10</f>
        <v>589.27991008045433</v>
      </c>
      <c r="M25" s="726">
        <f>'JCC-NLM AÑO (LINARES)'!H$10</f>
        <v>583.92347262376791</v>
      </c>
      <c r="N25" s="726">
        <f>'JCC-NLM AÑO (LINARES)'!I$10</f>
        <v>538.65562534759692</v>
      </c>
      <c r="O25" s="726">
        <f>'JCC-NLM AÑO (LINARES)'!J$10</f>
        <v>122.2594939271255</v>
      </c>
      <c r="P25" s="726">
        <f>'JCC-NLM AÑO (LINARES)'!K$10</f>
        <v>480.97602693602698</v>
      </c>
      <c r="Q25" s="726">
        <f>'JCC-NLM AÑO (LINARES)'!L$10</f>
        <v>487.75582763045333</v>
      </c>
      <c r="R25" s="726">
        <f>'JCC-NLM AÑO (LINARES)'!M$10</f>
        <v>476.197724665392</v>
      </c>
      <c r="S25" s="727">
        <f>'JCC-NLM AÑO (LINARES)'!N$10</f>
        <v>212.47264437689967</v>
      </c>
    </row>
    <row r="26" spans="1:19" ht="24" customHeight="1" x14ac:dyDescent="0.3">
      <c r="A26" s="365" t="s">
        <v>111</v>
      </c>
      <c r="B26" s="468" t="s">
        <v>339</v>
      </c>
      <c r="C26" s="464" t="s">
        <v>112</v>
      </c>
      <c r="D26" s="699" t="s">
        <v>666</v>
      </c>
      <c r="E26" s="700">
        <v>0.55000000000000004</v>
      </c>
      <c r="F26" s="464" t="s">
        <v>110</v>
      </c>
      <c r="G26" s="465" t="s">
        <v>98</v>
      </c>
      <c r="H26" s="710">
        <f>'JCC-NLM AÑO (LINARES)'!C$21</f>
        <v>0</v>
      </c>
      <c r="I26" s="710">
        <f>'JCC-NLM AÑO (LINARES)'!D$21</f>
        <v>0</v>
      </c>
      <c r="J26" s="710">
        <f>'JCC-NLM AÑO (LINARES)'!E$21</f>
        <v>0.54556620680093026</v>
      </c>
      <c r="K26" s="710">
        <f>'JCC-NLM AÑO (LINARES)'!F$21</f>
        <v>0</v>
      </c>
      <c r="L26" s="710">
        <f>'JCC-NLM AÑO (LINARES)'!G$21</f>
        <v>0</v>
      </c>
      <c r="M26" s="710">
        <f>'JCC-NLM AÑO (LINARES)'!H$21</f>
        <v>0.53348404461020238</v>
      </c>
      <c r="N26" s="710">
        <f>'JCC-NLM AÑO (LINARES)'!I$21</f>
        <v>0</v>
      </c>
      <c r="O26" s="710">
        <f>'JCC-NLM AÑO (LINARES)'!J$21</f>
        <v>0</v>
      </c>
      <c r="P26" s="710">
        <f>'JCC-NLM AÑO (LINARES)'!K$21</f>
        <v>0.57457218390208276</v>
      </c>
      <c r="Q26" s="710">
        <f>'JCC-NLM AÑO (LINARES)'!L$21</f>
        <v>0</v>
      </c>
      <c r="R26" s="710">
        <f>'JCC-NLM AÑO (LINARES)'!M$21</f>
        <v>0</v>
      </c>
      <c r="S26" s="710">
        <f>'JCC-NLM AÑO (LINARES)'!N$21</f>
        <v>0.59132962065451167</v>
      </c>
    </row>
    <row r="27" spans="1:19" ht="24" customHeight="1" x14ac:dyDescent="0.3">
      <c r="A27" s="525" t="s">
        <v>347</v>
      </c>
      <c r="B27" s="362" t="s">
        <v>338</v>
      </c>
      <c r="C27" s="362" t="s">
        <v>112</v>
      </c>
      <c r="D27" s="697" t="s">
        <v>668</v>
      </c>
      <c r="E27" s="698">
        <v>1</v>
      </c>
      <c r="F27" s="362" t="s">
        <v>110</v>
      </c>
      <c r="G27" s="363" t="s">
        <v>98</v>
      </c>
      <c r="H27" s="470">
        <f>'JCC-NLM AÑO (LINARES)'!C$46</f>
        <v>0.92</v>
      </c>
      <c r="I27" s="470">
        <f>'JCC-NLM AÑO (LINARES)'!D$46</f>
        <v>0.92</v>
      </c>
      <c r="J27" s="470">
        <f>'JCC-NLM AÑO (LINARES)'!E$46</f>
        <v>0.91</v>
      </c>
      <c r="K27" s="470">
        <f>'JCC-NLM AÑO (LINARES)'!F$46</f>
        <v>0.9</v>
      </c>
      <c r="L27" s="470">
        <f>'JCC-NLM AÑO (LINARES)'!G$46</f>
        <v>0.93</v>
      </c>
      <c r="M27" s="470">
        <f>'JCC-NLM AÑO (LINARES)'!H$46</f>
        <v>0.86</v>
      </c>
      <c r="N27" s="470">
        <f>'JCC-NLM AÑO (LINARES)'!I$46</f>
        <v>0.88</v>
      </c>
      <c r="O27" s="470">
        <f>'JCC-NLM AÑO (LINARES)'!J$46</f>
        <v>0.95</v>
      </c>
      <c r="P27" s="470">
        <f>'JCC-NLM AÑO (LINARES)'!K$46</f>
        <v>0.86</v>
      </c>
      <c r="Q27" s="470">
        <f>'JCC-NLM AÑO (LINARES)'!L$46</f>
        <v>0.91</v>
      </c>
      <c r="R27" s="470">
        <f>'JCC-NLM AÑO (LINARES)'!M$46</f>
        <v>0.92</v>
      </c>
      <c r="S27" s="709">
        <f>'JCC-NLM AÑO (LINARES)'!N$46</f>
        <v>0.89</v>
      </c>
    </row>
    <row r="28" spans="1:19" ht="24" hidden="1" customHeight="1" x14ac:dyDescent="0.3">
      <c r="A28" s="525" t="s">
        <v>348</v>
      </c>
      <c r="B28" s="464" t="s">
        <v>338</v>
      </c>
      <c r="C28" s="464" t="s">
        <v>112</v>
      </c>
      <c r="D28" s="464"/>
      <c r="E28" s="466">
        <v>100</v>
      </c>
      <c r="F28" s="464" t="s">
        <v>110</v>
      </c>
      <c r="G28" s="465" t="s">
        <v>98</v>
      </c>
      <c r="H28" s="719" t="e">
        <f>'JCC-NLM AÑO (LINARES)'!#REF!</f>
        <v>#REF!</v>
      </c>
      <c r="I28" s="719" t="e">
        <f>'JCC-NLM AÑO (LINARES)'!#REF!</f>
        <v>#REF!</v>
      </c>
      <c r="J28" s="719" t="e">
        <f>'JCC-NLM AÑO (LINARES)'!#REF!</f>
        <v>#REF!</v>
      </c>
      <c r="K28" s="719" t="e">
        <f>'JCC-NLM AÑO (LINARES)'!#REF!</f>
        <v>#REF!</v>
      </c>
      <c r="L28" s="719" t="e">
        <f>'JCC-NLM AÑO (LINARES)'!#REF!</f>
        <v>#REF!</v>
      </c>
      <c r="M28" s="719" t="e">
        <f>'JCC-NLM AÑO (LINARES)'!#REF!</f>
        <v>#REF!</v>
      </c>
      <c r="N28" s="719" t="e">
        <f>'JCC-NLM AÑO (LINARES)'!#REF!</f>
        <v>#REF!</v>
      </c>
      <c r="O28" s="719" t="e">
        <f>'JCC-NLM AÑO (LINARES)'!#REF!</f>
        <v>#REF!</v>
      </c>
      <c r="P28" s="719" t="e">
        <f>'JCC-NLM AÑO (LINARES)'!#REF!</f>
        <v>#REF!</v>
      </c>
      <c r="Q28" s="719" t="e">
        <f>'JCC-NLM AÑO (LINARES)'!#REF!</f>
        <v>#REF!</v>
      </c>
      <c r="R28" s="719" t="e">
        <f>'JCC-NLM AÑO (LINARES)'!#REF!</f>
        <v>#REF!</v>
      </c>
      <c r="S28" s="728" t="e">
        <f>'JCC-NLM AÑO (LINARES)'!#REF!</f>
        <v>#REF!</v>
      </c>
    </row>
    <row r="29" spans="1:19" ht="24" customHeight="1" x14ac:dyDescent="0.3">
      <c r="A29" s="525" t="s">
        <v>349</v>
      </c>
      <c r="B29" s="362" t="s">
        <v>338</v>
      </c>
      <c r="C29" s="362" t="s">
        <v>112</v>
      </c>
      <c r="D29" s="697" t="s">
        <v>666</v>
      </c>
      <c r="E29" s="461">
        <v>250</v>
      </c>
      <c r="F29" s="362" t="s">
        <v>110</v>
      </c>
      <c r="G29" s="363" t="s">
        <v>98</v>
      </c>
      <c r="H29" s="708">
        <f>'JCC-NLM AÑO (LINARES)'!C$56</f>
        <v>88</v>
      </c>
      <c r="I29" s="708">
        <f>'JCC-NLM AÑO (LINARES)'!D$56</f>
        <v>121</v>
      </c>
      <c r="J29" s="708">
        <f>'JCC-NLM AÑO (LINARES)'!E$56</f>
        <v>114</v>
      </c>
      <c r="K29" s="708">
        <f>'JCC-NLM AÑO (LINARES)'!F$56</f>
        <v>157</v>
      </c>
      <c r="L29" s="708">
        <f>'JCC-NLM AÑO (LINARES)'!G$56</f>
        <v>172</v>
      </c>
      <c r="M29" s="708">
        <f>'JCC-NLM AÑO (LINARES)'!H$56</f>
        <v>189</v>
      </c>
      <c r="N29" s="708">
        <f>'JCC-NLM AÑO (LINARES)'!I$56</f>
        <v>212</v>
      </c>
      <c r="O29" s="708">
        <f>'JCC-NLM AÑO (LINARES)'!J$56</f>
        <v>52</v>
      </c>
      <c r="P29" s="708">
        <f>'JCC-NLM AÑO (LINARES)'!K$56</f>
        <v>216</v>
      </c>
      <c r="Q29" s="708">
        <f>'JCC-NLM AÑO (LINARES)'!L$56</f>
        <v>160.32</v>
      </c>
      <c r="R29" s="708">
        <f>'JCC-NLM AÑO (LINARES)'!M$56</f>
        <v>198.74</v>
      </c>
      <c r="S29" s="718">
        <f>'JCC-NLM AÑO (LINARES)'!N$56</f>
        <v>84</v>
      </c>
    </row>
    <row r="30" spans="1:19" ht="24" customHeight="1" x14ac:dyDescent="0.3">
      <c r="A30" s="525" t="s">
        <v>356</v>
      </c>
      <c r="B30" s="464" t="s">
        <v>338</v>
      </c>
      <c r="C30" s="464" t="s">
        <v>350</v>
      </c>
      <c r="D30" s="699" t="s">
        <v>668</v>
      </c>
      <c r="E30" s="469">
        <v>1</v>
      </c>
      <c r="F30" s="464" t="s">
        <v>110</v>
      </c>
      <c r="G30" s="465" t="s">
        <v>98</v>
      </c>
      <c r="H30" s="729">
        <f>'JCC-NLM AÑO (LINARES)'!C$66</f>
        <v>1</v>
      </c>
      <c r="I30" s="729">
        <f>'JCC-NLM AÑO (LINARES)'!D$66</f>
        <v>1</v>
      </c>
      <c r="J30" s="729">
        <f>'JCC-NLM AÑO (LINARES)'!E$66</f>
        <v>1</v>
      </c>
      <c r="K30" s="729">
        <f>'JCC-NLM AÑO (LINARES)'!F$66</f>
        <v>1</v>
      </c>
      <c r="L30" s="729">
        <f>'JCC-NLM AÑO (LINARES)'!G$66</f>
        <v>1</v>
      </c>
      <c r="M30" s="729">
        <f>'JCC-NLM AÑO (LINARES)'!H$66</f>
        <v>1</v>
      </c>
      <c r="N30" s="729">
        <f>'JCC-NLM AÑO (LINARES)'!I$66</f>
        <v>0</v>
      </c>
      <c r="O30" s="729">
        <f>'JCC-NLM AÑO (LINARES)'!J$66</f>
        <v>1</v>
      </c>
      <c r="P30" s="729">
        <f>'JCC-NLM AÑO (LINARES)'!K$66</f>
        <v>1</v>
      </c>
      <c r="Q30" s="729">
        <f>'JCC-NLM AÑO (LINARES)'!L$66</f>
        <v>1</v>
      </c>
      <c r="R30" s="729">
        <f>'JCC-NLM AÑO (LINARES)'!M$66</f>
        <v>1</v>
      </c>
      <c r="S30" s="730">
        <f>'JCC-NLM AÑO (LINARES)'!N$66</f>
        <v>1</v>
      </c>
    </row>
    <row r="31" spans="1:19" ht="24" customHeight="1" x14ac:dyDescent="0.3">
      <c r="A31" s="525" t="s">
        <v>351</v>
      </c>
      <c r="B31" s="362" t="s">
        <v>339</v>
      </c>
      <c r="C31" s="362" t="s">
        <v>350</v>
      </c>
      <c r="D31" s="697" t="s">
        <v>666</v>
      </c>
      <c r="E31" s="703">
        <v>0</v>
      </c>
      <c r="F31" s="362" t="s">
        <v>110</v>
      </c>
      <c r="G31" s="363" t="s">
        <v>93</v>
      </c>
      <c r="H31" s="708"/>
      <c r="I31" s="708"/>
      <c r="J31" s="708">
        <f>'JCC-NLM AÑO (LINARES)'!E81</f>
        <v>0</v>
      </c>
      <c r="K31" s="708"/>
      <c r="L31" s="708"/>
      <c r="M31" s="708">
        <f>'JCC-NLM AÑO (LINARES)'!H81</f>
        <v>0</v>
      </c>
      <c r="N31" s="708"/>
      <c r="O31" s="708"/>
      <c r="P31" s="708">
        <f>'JCC-NLM AÑO (LINARES)'!K81</f>
        <v>0</v>
      </c>
      <c r="Q31" s="708"/>
      <c r="R31" s="708"/>
      <c r="S31" s="718">
        <f>'JCC-NLM AÑO (LINARES)'!N81</f>
        <v>0</v>
      </c>
    </row>
    <row r="32" spans="1:19" ht="24" customHeight="1" x14ac:dyDescent="0.3">
      <c r="A32" s="1687" t="s">
        <v>352</v>
      </c>
      <c r="B32" s="1689" t="s">
        <v>409</v>
      </c>
      <c r="C32" s="1689" t="s">
        <v>353</v>
      </c>
      <c r="D32" s="1689">
        <v>2</v>
      </c>
      <c r="E32" s="1691" t="s">
        <v>354</v>
      </c>
      <c r="F32" s="1689" t="s">
        <v>101</v>
      </c>
      <c r="G32" s="465" t="s">
        <v>399</v>
      </c>
      <c r="H32" s="719">
        <f>'RSB (LINARES)'!C89</f>
        <v>0</v>
      </c>
      <c r="I32" s="719">
        <f>'RSB (LINARES)'!D89</f>
        <v>1</v>
      </c>
      <c r="J32" s="719">
        <f>'RSB (LINARES)'!E89</f>
        <v>1</v>
      </c>
      <c r="K32" s="719">
        <f>'RSB (LINARES)'!F89</f>
        <v>0</v>
      </c>
      <c r="L32" s="719">
        <f>'RSB (LINARES)'!G89</f>
        <v>1</v>
      </c>
      <c r="M32" s="719">
        <f>'RSB (LINARES)'!H89</f>
        <v>0</v>
      </c>
      <c r="N32" s="719">
        <f>'RSB (LINARES)'!I89</f>
        <v>1</v>
      </c>
      <c r="O32" s="719">
        <f>'RSB (LINARES)'!J89</f>
        <v>1</v>
      </c>
      <c r="P32" s="719">
        <f>'RSB (LINARES)'!K89</f>
        <v>1</v>
      </c>
      <c r="Q32" s="719">
        <f>'RSB (LINARES)'!L89</f>
        <v>1</v>
      </c>
      <c r="R32" s="719">
        <f>'RSB (LINARES)'!M89</f>
        <v>1</v>
      </c>
      <c r="S32" s="719">
        <f>'RSB (LINARES)'!N89</f>
        <v>0</v>
      </c>
    </row>
    <row r="33" spans="1:19" ht="26.25" customHeight="1" x14ac:dyDescent="0.3">
      <c r="A33" s="1688"/>
      <c r="B33" s="1690"/>
      <c r="C33" s="1690"/>
      <c r="D33" s="1690"/>
      <c r="E33" s="1692"/>
      <c r="F33" s="1690"/>
      <c r="G33" s="465" t="s">
        <v>400</v>
      </c>
      <c r="H33" s="719">
        <f>'RSB (LINARES)'!C90</f>
        <v>1</v>
      </c>
      <c r="I33" s="719">
        <f>'RSB (LINARES)'!D90</f>
        <v>1</v>
      </c>
      <c r="J33" s="719">
        <f>'RSB (LINARES)'!E90</f>
        <v>1</v>
      </c>
      <c r="K33" s="719">
        <f>'RSB (LINARES)'!F90</f>
        <v>2</v>
      </c>
      <c r="L33" s="719">
        <f>'RSB (LINARES)'!G90</f>
        <v>1</v>
      </c>
      <c r="M33" s="719">
        <f>'RSB (LINARES)'!H90</f>
        <v>1</v>
      </c>
      <c r="N33" s="719">
        <f>'RSB (LINARES)'!I90</f>
        <v>1</v>
      </c>
      <c r="O33" s="719">
        <f>'RSB (LINARES)'!J90</f>
        <v>2</v>
      </c>
      <c r="P33" s="719">
        <f>'RSB (LINARES)'!K90</f>
        <v>1</v>
      </c>
      <c r="Q33" s="719">
        <f>'RSB (LINARES)'!L90</f>
        <v>1</v>
      </c>
      <c r="R33" s="719">
        <f>'RSB (LINARES)'!M90</f>
        <v>1</v>
      </c>
      <c r="S33" s="719">
        <f>'RSB (LINARES)'!N90</f>
        <v>0</v>
      </c>
    </row>
    <row r="34" spans="1:19" ht="24" customHeight="1" x14ac:dyDescent="0.3">
      <c r="A34" s="365" t="s">
        <v>113</v>
      </c>
      <c r="B34" s="462" t="s">
        <v>338</v>
      </c>
      <c r="C34" s="362" t="s">
        <v>114</v>
      </c>
      <c r="D34" s="697" t="s">
        <v>666</v>
      </c>
      <c r="E34" s="463">
        <v>10000</v>
      </c>
      <c r="F34" s="362" t="s">
        <v>115</v>
      </c>
      <c r="G34" s="363" t="s">
        <v>98</v>
      </c>
      <c r="H34" s="731">
        <f>'JNL-MCG AÑO (LINARES)'!C$7</f>
        <v>6186.04</v>
      </c>
      <c r="I34" s="731">
        <f>'JNL-MCG AÑO (LINARES)'!D$7</f>
        <v>4237.92</v>
      </c>
      <c r="J34" s="731">
        <f>'JNL-MCG AÑO (LINARES)'!E$7</f>
        <v>2688.36</v>
      </c>
      <c r="K34" s="731">
        <f>'JNL-MCG AÑO (LINARES)'!F$7</f>
        <v>2700.48</v>
      </c>
      <c r="L34" s="731">
        <f>'JNL-MCG AÑO (LINARES)'!G$7</f>
        <v>4903.58</v>
      </c>
      <c r="M34" s="731">
        <f>'JNL-MCG AÑO (LINARES)'!H$7</f>
        <v>4750.5</v>
      </c>
      <c r="N34" s="731">
        <f>'JNL-MCG AÑO (LINARES)'!I$7</f>
        <v>8476.02</v>
      </c>
      <c r="O34" s="731">
        <f>'JNL-MCG AÑO (LINARES)'!J$7</f>
        <v>3244</v>
      </c>
      <c r="P34" s="731">
        <f>'JNL-MCG AÑO (LINARES)'!K$7</f>
        <v>9582.57</v>
      </c>
      <c r="Q34" s="731">
        <f>'JNL-MCG AÑO (LINARES)'!L$7</f>
        <v>6083</v>
      </c>
      <c r="R34" s="731">
        <f>'JNL-MCG AÑO (LINARES)'!M$7</f>
        <v>3768</v>
      </c>
      <c r="S34" s="731">
        <f>'JNL-MCG AÑO (LINARES)'!N$7</f>
        <v>3576</v>
      </c>
    </row>
    <row r="35" spans="1:19" ht="24" customHeight="1" x14ac:dyDescent="0.3">
      <c r="A35" s="365" t="s">
        <v>116</v>
      </c>
      <c r="B35" s="468" t="s">
        <v>338</v>
      </c>
      <c r="C35" s="464" t="s">
        <v>114</v>
      </c>
      <c r="D35" s="699" t="s">
        <v>666</v>
      </c>
      <c r="E35" s="466">
        <v>250</v>
      </c>
      <c r="F35" s="464" t="s">
        <v>115</v>
      </c>
      <c r="G35" s="465" t="s">
        <v>98</v>
      </c>
      <c r="H35" s="732">
        <f>'JNL-MCG AÑO (LINARES)'!C$14</f>
        <v>0</v>
      </c>
      <c r="I35" s="732">
        <f>'JNL-MCG AÑO (LINARES)'!D$14</f>
        <v>0</v>
      </c>
      <c r="J35" s="732">
        <f>'JNL-MCG AÑO (LINARES)'!E$14</f>
        <v>0</v>
      </c>
      <c r="K35" s="732">
        <f>'JNL-MCG AÑO (LINARES)'!F$14</f>
        <v>0</v>
      </c>
      <c r="L35" s="732">
        <f>'JNL-MCG AÑO (LINARES)'!G$14</f>
        <v>0</v>
      </c>
      <c r="M35" s="732">
        <f>'JNL-MCG AÑO (LINARES)'!H$14</f>
        <v>0</v>
      </c>
      <c r="N35" s="732">
        <f>'JNL-MCG AÑO (LINARES)'!I$14</f>
        <v>0</v>
      </c>
      <c r="O35" s="732">
        <f>'JNL-MCG AÑO (LINARES)'!J$14</f>
        <v>0</v>
      </c>
      <c r="P35" s="732">
        <f>'JNL-MCG AÑO (LINARES)'!K$14</f>
        <v>0</v>
      </c>
      <c r="Q35" s="732">
        <f>'JNL-MCG AÑO (LINARES)'!L$14</f>
        <v>0</v>
      </c>
      <c r="R35" s="732">
        <f>'JNL-MCG AÑO (LINARES)'!M$14</f>
        <v>0</v>
      </c>
      <c r="S35" s="732">
        <f>'JNL-MCG AÑO (LINARES)'!N$14</f>
        <v>0</v>
      </c>
    </row>
    <row r="36" spans="1:19" ht="24" customHeight="1" x14ac:dyDescent="0.3">
      <c r="A36" s="365" t="s">
        <v>117</v>
      </c>
      <c r="B36" s="462" t="s">
        <v>339</v>
      </c>
      <c r="C36" s="362" t="s">
        <v>114</v>
      </c>
      <c r="D36" s="697" t="s">
        <v>666</v>
      </c>
      <c r="E36" s="698">
        <v>0.02</v>
      </c>
      <c r="F36" s="362" t="s">
        <v>115</v>
      </c>
      <c r="G36" s="363" t="s">
        <v>93</v>
      </c>
      <c r="H36" s="363"/>
      <c r="I36" s="363"/>
      <c r="J36" s="470">
        <f>'JNL-MCG AÑO (LINARES)'!E24</f>
        <v>1.2995969650183944E-2</v>
      </c>
      <c r="K36" s="363"/>
      <c r="L36" s="731"/>
      <c r="M36" s="470">
        <f>'JNL-MCG AÑO (LINARES)'!H24</f>
        <v>1.0956573966037013E-2</v>
      </c>
      <c r="N36" s="363"/>
      <c r="O36" s="363"/>
      <c r="P36" s="470">
        <f>'JNL-MCG AÑO (LINARES)'!K24</f>
        <v>3.354070020919863E-2</v>
      </c>
      <c r="Q36" s="363"/>
      <c r="R36" s="363"/>
      <c r="S36" s="709">
        <f>'JNL-MCG AÑO (LINARES)'!N24</f>
        <v>2.4919715159355045E-2</v>
      </c>
    </row>
    <row r="37" spans="1:19" ht="24" customHeight="1" x14ac:dyDescent="0.3">
      <c r="A37" s="365" t="s">
        <v>364</v>
      </c>
      <c r="B37" s="468" t="s">
        <v>338</v>
      </c>
      <c r="C37" s="464" t="s">
        <v>114</v>
      </c>
      <c r="D37" s="464"/>
      <c r="E37" s="464" t="s">
        <v>118</v>
      </c>
      <c r="F37" s="464" t="s">
        <v>115</v>
      </c>
      <c r="G37" s="465" t="s">
        <v>119</v>
      </c>
      <c r="H37" s="465"/>
      <c r="I37" s="465"/>
      <c r="J37" s="733"/>
      <c r="K37" s="465"/>
      <c r="L37" s="465"/>
      <c r="M37" s="733">
        <f>'JNL-MCG AÑO (LINARES)'!H48</f>
        <v>0</v>
      </c>
      <c r="N37" s="465"/>
      <c r="O37" s="465"/>
      <c r="P37" s="733"/>
      <c r="Q37" s="465"/>
      <c r="R37" s="465"/>
      <c r="S37" s="734">
        <f>'JNL-MCG AÑO (LINARES)'!N48</f>
        <v>0</v>
      </c>
    </row>
    <row r="38" spans="1:19" ht="24" customHeight="1" x14ac:dyDescent="0.3">
      <c r="A38" s="525" t="s">
        <v>362</v>
      </c>
      <c r="B38" s="362" t="s">
        <v>338</v>
      </c>
      <c r="C38" s="362" t="s">
        <v>363</v>
      </c>
      <c r="D38" s="697" t="s">
        <v>666</v>
      </c>
      <c r="E38" s="471">
        <v>0</v>
      </c>
      <c r="F38" s="362" t="s">
        <v>115</v>
      </c>
      <c r="G38" s="363" t="s">
        <v>124</v>
      </c>
      <c r="H38" s="363"/>
      <c r="I38" s="363"/>
      <c r="J38" s="735"/>
      <c r="K38" s="363"/>
      <c r="L38" s="363"/>
      <c r="M38" s="735"/>
      <c r="N38" s="363"/>
      <c r="O38" s="363"/>
      <c r="P38" s="735"/>
      <c r="Q38" s="363"/>
      <c r="R38" s="363"/>
      <c r="S38" s="736">
        <f>'JNL-MCG AÑO (LINARES)'!C97</f>
        <v>1</v>
      </c>
    </row>
    <row r="39" spans="1:19" ht="24" customHeight="1" x14ac:dyDescent="0.3">
      <c r="A39" s="365" t="s">
        <v>361</v>
      </c>
      <c r="B39" s="468" t="s">
        <v>339</v>
      </c>
      <c r="C39" s="464" t="s">
        <v>120</v>
      </c>
      <c r="D39" s="699" t="s">
        <v>666</v>
      </c>
      <c r="E39" s="466">
        <v>0.75</v>
      </c>
      <c r="F39" s="464" t="s">
        <v>892</v>
      </c>
      <c r="G39" s="465" t="s">
        <v>93</v>
      </c>
      <c r="H39" s="465"/>
      <c r="I39" s="465"/>
      <c r="J39" s="733">
        <f>'JNL-MCG AÑO (LINARES)'!E58</f>
        <v>0.203125</v>
      </c>
      <c r="K39" s="465"/>
      <c r="L39" s="465"/>
      <c r="M39" s="733">
        <f>'JNL-MCG AÑO (LINARES)'!H58</f>
        <v>0</v>
      </c>
      <c r="N39" s="465"/>
      <c r="O39" s="465"/>
      <c r="P39" s="733">
        <f>'JNL-MCG AÑO (LINARES)'!K58</f>
        <v>7.8125E-3</v>
      </c>
      <c r="Q39" s="465"/>
      <c r="R39" s="465"/>
      <c r="S39" s="734">
        <f>'JNL-MCG AÑO (LINARES)'!N58</f>
        <v>0</v>
      </c>
    </row>
    <row r="40" spans="1:19" ht="24" customHeight="1" x14ac:dyDescent="0.3">
      <c r="A40" s="365" t="s">
        <v>121</v>
      </c>
      <c r="B40" s="462" t="s">
        <v>339</v>
      </c>
      <c r="C40" s="362" t="s">
        <v>120</v>
      </c>
      <c r="D40" s="697" t="s">
        <v>669</v>
      </c>
      <c r="E40" s="461">
        <v>4</v>
      </c>
      <c r="F40" s="362" t="s">
        <v>892</v>
      </c>
      <c r="G40" s="363" t="s">
        <v>98</v>
      </c>
      <c r="H40" s="735">
        <f>'JNL-MCG AÑO (LINARES)'!C$65</f>
        <v>1</v>
      </c>
      <c r="I40" s="735">
        <f>'JNL-MCG AÑO (LINARES)'!D$65</f>
        <v>4</v>
      </c>
      <c r="J40" s="735">
        <f>'JNL-MCG AÑO (LINARES)'!E$65</f>
        <v>2</v>
      </c>
      <c r="K40" s="735">
        <f>'JNL-MCG AÑO (LINARES)'!F$65</f>
        <v>1</v>
      </c>
      <c r="L40" s="735">
        <f>'JNL-MCG AÑO (LINARES)'!G$65</f>
        <v>4</v>
      </c>
      <c r="M40" s="735">
        <f>'JNL-MCG AÑO (LINARES)'!H$65</f>
        <v>11</v>
      </c>
      <c r="N40" s="735">
        <f>'JNL-MCG AÑO (LINARES)'!I$65</f>
        <v>7</v>
      </c>
      <c r="O40" s="735">
        <f>'JNL-MCG AÑO (LINARES)'!J$65</f>
        <v>0</v>
      </c>
      <c r="P40" s="735">
        <f>'JNL-MCG AÑO (LINARES)'!K$65</f>
        <v>9</v>
      </c>
      <c r="Q40" s="735">
        <f>'JNL-MCG AÑO (LINARES)'!L$65</f>
        <v>5</v>
      </c>
      <c r="R40" s="735">
        <f>'JNL-MCG AÑO (LINARES)'!M$65</f>
        <v>2</v>
      </c>
      <c r="S40" s="736">
        <f>'JNL-MCG AÑO (LINARES)'!N$65</f>
        <v>2</v>
      </c>
    </row>
    <row r="41" spans="1:19" ht="24" customHeight="1" x14ac:dyDescent="0.3">
      <c r="A41" s="525" t="s">
        <v>365</v>
      </c>
      <c r="B41" s="468" t="s">
        <v>338</v>
      </c>
      <c r="C41" s="464" t="s">
        <v>120</v>
      </c>
      <c r="D41" s="699" t="s">
        <v>666</v>
      </c>
      <c r="E41" s="466">
        <v>2</v>
      </c>
      <c r="F41" s="464" t="s">
        <v>892</v>
      </c>
      <c r="G41" s="465" t="s">
        <v>93</v>
      </c>
      <c r="H41" s="733"/>
      <c r="I41" s="733"/>
      <c r="J41" s="733">
        <f>'JNL-MCG AÑO (LINARES)'!E108</f>
        <v>1</v>
      </c>
      <c r="K41" s="733"/>
      <c r="L41" s="733"/>
      <c r="M41" s="733">
        <f>'JNL-MCG AÑO (LINARES)'!H108</f>
        <v>4.18</v>
      </c>
      <c r="N41" s="733"/>
      <c r="O41" s="733"/>
      <c r="P41" s="733">
        <f>'JNL-MCG AÑO (LINARES)'!K108</f>
        <v>5.3</v>
      </c>
      <c r="Q41" s="733"/>
      <c r="R41" s="733"/>
      <c r="S41" s="734">
        <f>'JNL-MCG AÑO (LINARES)'!N108</f>
        <v>1</v>
      </c>
    </row>
    <row r="42" spans="1:19" ht="24" customHeight="1" x14ac:dyDescent="0.3">
      <c r="A42" s="365" t="s">
        <v>343</v>
      </c>
      <c r="B42" s="362" t="s">
        <v>339</v>
      </c>
      <c r="C42" s="362" t="s">
        <v>97</v>
      </c>
      <c r="D42" s="697" t="s">
        <v>666</v>
      </c>
      <c r="E42" s="698">
        <v>0.85</v>
      </c>
      <c r="F42" s="362" t="s">
        <v>92</v>
      </c>
      <c r="G42" s="363" t="s">
        <v>93</v>
      </c>
      <c r="H42" s="708"/>
      <c r="I42" s="708"/>
      <c r="J42" s="470">
        <f>'MATG-JGS-JAAR AÑO (LINARES)'!E68</f>
        <v>0.78833884420331024</v>
      </c>
      <c r="K42" s="708"/>
      <c r="L42" s="708"/>
      <c r="M42" s="470">
        <f>'MATG-JGS-JAAR AÑO (LINARES)'!H68</f>
        <v>0.82115489870882818</v>
      </c>
      <c r="N42" s="708"/>
      <c r="O42" s="708"/>
      <c r="P42" s="470">
        <f>'MATG-JGS-JAAR AÑO (LINARES)'!K68</f>
        <v>0.82414525024723229</v>
      </c>
      <c r="Q42" s="708"/>
      <c r="R42" s="708"/>
      <c r="S42" s="709">
        <f>'MATG-JGS-JAAR AÑO (LINARES)'!N68</f>
        <v>0.87164125334286768</v>
      </c>
    </row>
    <row r="43" spans="1:19" ht="24" customHeight="1" x14ac:dyDescent="0.3">
      <c r="A43" s="670" t="s">
        <v>122</v>
      </c>
      <c r="B43" s="671" t="s">
        <v>338</v>
      </c>
      <c r="C43" s="671" t="s">
        <v>123</v>
      </c>
      <c r="D43" s="1170" t="s">
        <v>665</v>
      </c>
      <c r="E43" s="1171">
        <v>6</v>
      </c>
      <c r="F43" s="671" t="s">
        <v>802</v>
      </c>
      <c r="G43" s="672" t="s">
        <v>124</v>
      </c>
      <c r="H43" s="737"/>
      <c r="I43" s="737"/>
      <c r="J43" s="737"/>
      <c r="K43" s="737"/>
      <c r="L43" s="737"/>
      <c r="M43" s="737"/>
      <c r="N43" s="737"/>
      <c r="O43" s="737"/>
      <c r="P43" s="737"/>
      <c r="Q43" s="737"/>
      <c r="R43" s="737"/>
      <c r="S43" s="738">
        <f>'MATG-JGS-JAAR AÑO (LINARES)'!C75</f>
        <v>9.1899999999999996E-2</v>
      </c>
    </row>
    <row r="44" spans="1:19" ht="24" customHeight="1" x14ac:dyDescent="0.3">
      <c r="A44" s="1179" t="s">
        <v>355</v>
      </c>
      <c r="B44" s="1180" t="s">
        <v>339</v>
      </c>
      <c r="C44" s="1181" t="s">
        <v>123</v>
      </c>
      <c r="D44" s="1172" t="s">
        <v>669</v>
      </c>
      <c r="E44" s="1173">
        <v>0.06</v>
      </c>
      <c r="F44" s="1181" t="s">
        <v>802</v>
      </c>
      <c r="G44" s="1182" t="s">
        <v>124</v>
      </c>
      <c r="H44" s="1183"/>
      <c r="I44" s="1183"/>
      <c r="J44" s="1183"/>
      <c r="K44" s="1183"/>
      <c r="L44" s="1183"/>
      <c r="M44" s="1183"/>
      <c r="N44" s="1183"/>
      <c r="O44" s="1183"/>
      <c r="P44" s="1183"/>
      <c r="Q44" s="1183"/>
      <c r="R44" s="1183"/>
      <c r="S44" s="1184">
        <f>'MATG-JGS-JAAR AÑO (LINARES)'!C85</f>
        <v>0</v>
      </c>
    </row>
    <row r="45" spans="1:19" ht="24" customHeight="1" x14ac:dyDescent="0.3">
      <c r="A45" s="1174" t="s">
        <v>794</v>
      </c>
      <c r="B45" s="1175" t="s">
        <v>339</v>
      </c>
      <c r="C45" s="1175" t="s">
        <v>95</v>
      </c>
      <c r="D45" s="1187" t="s">
        <v>665</v>
      </c>
      <c r="E45" s="1185">
        <v>2</v>
      </c>
      <c r="F45" s="1181" t="s">
        <v>800</v>
      </c>
      <c r="G45" s="1176" t="s">
        <v>797</v>
      </c>
      <c r="H45" s="1177"/>
      <c r="I45" s="1177"/>
      <c r="J45" s="1178"/>
      <c r="K45" s="1177">
        <f>'MATG-JGS-JAAR AÑO (LINARES)'!F104</f>
        <v>0</v>
      </c>
      <c r="L45" s="1177"/>
      <c r="M45" s="1178"/>
      <c r="N45" s="1177"/>
      <c r="O45" s="1177">
        <f>'MATG-JGS-JAAR AÑO (LINARES)'!J104</f>
        <v>0</v>
      </c>
      <c r="P45" s="1178"/>
      <c r="Q45" s="1177"/>
      <c r="R45" s="1177"/>
      <c r="S45" s="1205">
        <f>'MATG-JGS-JAAR AÑO (LINARES)'!N104</f>
        <v>13</v>
      </c>
    </row>
    <row r="46" spans="1:19" ht="24" customHeight="1" x14ac:dyDescent="0.3">
      <c r="A46" s="670" t="s">
        <v>795</v>
      </c>
      <c r="B46" s="1200" t="s">
        <v>338</v>
      </c>
      <c r="C46" s="1201" t="s">
        <v>95</v>
      </c>
      <c r="D46" s="1202" t="s">
        <v>665</v>
      </c>
      <c r="E46" s="1203">
        <v>0.5</v>
      </c>
      <c r="F46" s="1204" t="s">
        <v>800</v>
      </c>
      <c r="G46" s="672" t="s">
        <v>124</v>
      </c>
      <c r="H46" s="737"/>
      <c r="I46" s="737"/>
      <c r="J46" s="737"/>
      <c r="K46" s="737"/>
      <c r="L46" s="737"/>
      <c r="M46" s="737"/>
      <c r="N46" s="737"/>
      <c r="O46" s="737"/>
      <c r="P46" s="737"/>
      <c r="Q46" s="737"/>
      <c r="R46" s="737"/>
      <c r="S46" s="738" t="e">
        <f>'MATG-JGS-JAAR AÑO (LINARES)'!#REF!</f>
        <v>#REF!</v>
      </c>
    </row>
    <row r="47" spans="1:19" ht="24" customHeight="1" thickBot="1" x14ac:dyDescent="0.35">
      <c r="A47" s="673" t="s">
        <v>796</v>
      </c>
      <c r="B47" s="674" t="s">
        <v>338</v>
      </c>
      <c r="C47" s="1175" t="s">
        <v>95</v>
      </c>
      <c r="D47" s="1188" t="s">
        <v>669</v>
      </c>
      <c r="E47" s="1186">
        <v>1</v>
      </c>
      <c r="F47" s="1181" t="s">
        <v>800</v>
      </c>
      <c r="G47" s="676" t="s">
        <v>124</v>
      </c>
      <c r="H47" s="739"/>
      <c r="I47" s="739"/>
      <c r="J47" s="739"/>
      <c r="K47" s="739"/>
      <c r="L47" s="739"/>
      <c r="M47" s="739"/>
      <c r="N47" s="739"/>
      <c r="O47" s="739"/>
      <c r="P47" s="739"/>
      <c r="Q47" s="739"/>
      <c r="R47" s="739"/>
      <c r="S47" s="1206" t="e">
        <f>'MATG-JGS-JAAR AÑO (LINARES)'!#REF!</f>
        <v>#REF!</v>
      </c>
    </row>
    <row r="48" spans="1:19" ht="15.75" thickTop="1" x14ac:dyDescent="0.25"/>
  </sheetData>
  <mergeCells count="7">
    <mergeCell ref="F1:J1"/>
    <mergeCell ref="A32:A33"/>
    <mergeCell ref="B32:B33"/>
    <mergeCell ref="C32:C33"/>
    <mergeCell ref="E32:E33"/>
    <mergeCell ref="F32:F33"/>
    <mergeCell ref="D32:D33"/>
  </mergeCells>
  <conditionalFormatting sqref="H7:S7">
    <cfRule type="cellIs" dxfId="74" priority="40" operator="lessThanOrEqual">
      <formula>$E$7</formula>
    </cfRule>
  </conditionalFormatting>
  <conditionalFormatting sqref="H8:S8">
    <cfRule type="cellIs" dxfId="73" priority="39" operator="greaterThan">
      <formula>$E$8</formula>
    </cfRule>
  </conditionalFormatting>
  <conditionalFormatting sqref="H9:S9">
    <cfRule type="cellIs" dxfId="72" priority="38" operator="greaterThanOrEqual">
      <formula>$E$9</formula>
    </cfRule>
  </conditionalFormatting>
  <conditionalFormatting sqref="H10:S10">
    <cfRule type="cellIs" dxfId="71" priority="36" operator="lessThanOrEqual">
      <formula>$E$10</formula>
    </cfRule>
  </conditionalFormatting>
  <conditionalFormatting sqref="H11:S11">
    <cfRule type="cellIs" dxfId="70" priority="35" operator="lessThanOrEqual">
      <formula>$E$11</formula>
    </cfRule>
  </conditionalFormatting>
  <conditionalFormatting sqref="H12:S12">
    <cfRule type="cellIs" dxfId="69" priority="34" operator="lessThan">
      <formula>$E$12</formula>
    </cfRule>
  </conditionalFormatting>
  <conditionalFormatting sqref="H13:S13">
    <cfRule type="cellIs" dxfId="68" priority="33" operator="greaterThan">
      <formula>$E$13</formula>
    </cfRule>
  </conditionalFormatting>
  <conditionalFormatting sqref="H15:S15">
    <cfRule type="cellIs" dxfId="67" priority="32" operator="greaterThan">
      <formula>$E$15</formula>
    </cfRule>
  </conditionalFormatting>
  <conditionalFormatting sqref="H16:S16">
    <cfRule type="cellIs" dxfId="66" priority="31" operator="greaterThan">
      <formula>$E$16</formula>
    </cfRule>
  </conditionalFormatting>
  <conditionalFormatting sqref="H17:S17">
    <cfRule type="cellIs" dxfId="65" priority="30" operator="greaterThan">
      <formula>$E$17</formula>
    </cfRule>
  </conditionalFormatting>
  <conditionalFormatting sqref="H18:S18">
    <cfRule type="cellIs" dxfId="64" priority="29" operator="greaterThan">
      <formula>$E$18</formula>
    </cfRule>
  </conditionalFormatting>
  <conditionalFormatting sqref="H19:S19">
    <cfRule type="cellIs" dxfId="63" priority="28" operator="greaterThan">
      <formula>$E$19</formula>
    </cfRule>
  </conditionalFormatting>
  <conditionalFormatting sqref="H20:S20">
    <cfRule type="cellIs" dxfId="62" priority="27" operator="lessThan">
      <formula>$E$20</formula>
    </cfRule>
  </conditionalFormatting>
  <conditionalFormatting sqref="H21:S21">
    <cfRule type="cellIs" dxfId="61" priority="26" operator="lessThan">
      <formula>$E$21</formula>
    </cfRule>
  </conditionalFormatting>
  <conditionalFormatting sqref="H22:I22 K22:S22">
    <cfRule type="cellIs" dxfId="60" priority="25" operator="greaterThanOrEqual">
      <formula>$E$22</formula>
    </cfRule>
  </conditionalFormatting>
  <conditionalFormatting sqref="H23:S23">
    <cfRule type="cellIs" dxfId="59" priority="24" operator="lessThan">
      <formula>$E$23</formula>
    </cfRule>
  </conditionalFormatting>
  <conditionalFormatting sqref="H24:S24">
    <cfRule type="cellIs" dxfId="58" priority="23" operator="greaterThan">
      <formula>$E$24</formula>
    </cfRule>
  </conditionalFormatting>
  <conditionalFormatting sqref="H25:S25">
    <cfRule type="cellIs" dxfId="57" priority="22" operator="lessThan">
      <formula>$E$25</formula>
    </cfRule>
  </conditionalFormatting>
  <conditionalFormatting sqref="H26:S26">
    <cfRule type="cellIs" dxfId="56" priority="21" operator="greaterThan">
      <formula>$E$26</formula>
    </cfRule>
  </conditionalFormatting>
  <conditionalFormatting sqref="H27:S27">
    <cfRule type="cellIs" dxfId="55" priority="20" operator="lessThan">
      <formula>$E$27</formula>
    </cfRule>
  </conditionalFormatting>
  <conditionalFormatting sqref="H29:S29">
    <cfRule type="cellIs" dxfId="54" priority="19" operator="greaterThan">
      <formula>$E$29</formula>
    </cfRule>
  </conditionalFormatting>
  <conditionalFormatting sqref="H30:S30">
    <cfRule type="cellIs" dxfId="53" priority="18" operator="lessThan">
      <formula>$E$30</formula>
    </cfRule>
  </conditionalFormatting>
  <conditionalFormatting sqref="H31:S31">
    <cfRule type="cellIs" dxfId="52" priority="17" operator="greaterThan">
      <formula>$E$31</formula>
    </cfRule>
  </conditionalFormatting>
  <conditionalFormatting sqref="H32:S32">
    <cfRule type="cellIs" dxfId="51" priority="16" operator="greaterThan">
      <formula>$D$32</formula>
    </cfRule>
  </conditionalFormatting>
  <conditionalFormatting sqref="H33:S33">
    <cfRule type="cellIs" dxfId="50" priority="15" operator="greaterThan">
      <formula>$D$32</formula>
    </cfRule>
  </conditionalFormatting>
  <conditionalFormatting sqref="H34:S34">
    <cfRule type="cellIs" dxfId="49" priority="14" operator="greaterThan">
      <formula>$E$34</formula>
    </cfRule>
  </conditionalFormatting>
  <conditionalFormatting sqref="H35:S35">
    <cfRule type="cellIs" dxfId="48" priority="13" operator="greaterThan">
      <formula>$E$35</formula>
    </cfRule>
  </conditionalFormatting>
  <conditionalFormatting sqref="H36:S36">
    <cfRule type="cellIs" dxfId="47" priority="12" operator="greaterThan">
      <formula>$E$36</formula>
    </cfRule>
  </conditionalFormatting>
  <conditionalFormatting sqref="H38:S38">
    <cfRule type="cellIs" dxfId="46" priority="10" operator="greaterThan">
      <formula>$E$38</formula>
    </cfRule>
    <cfRule type="cellIs" dxfId="45" priority="11" operator="greaterThanOrEqual">
      <formula>$E$38</formula>
    </cfRule>
  </conditionalFormatting>
  <conditionalFormatting sqref="H39:S39">
    <cfRule type="cellIs" dxfId="44" priority="9" operator="greaterThan">
      <formula>$E$39</formula>
    </cfRule>
  </conditionalFormatting>
  <conditionalFormatting sqref="H40:S40">
    <cfRule type="cellIs" dxfId="43" priority="8" operator="greaterThanOrEqual">
      <formula>$E$40</formula>
    </cfRule>
  </conditionalFormatting>
  <conditionalFormatting sqref="H41:S41">
    <cfRule type="cellIs" dxfId="42" priority="7" operator="greaterThan">
      <formula>$E$41</formula>
    </cfRule>
  </conditionalFormatting>
  <conditionalFormatting sqref="H42:S42">
    <cfRule type="cellIs" dxfId="41" priority="6" operator="greaterThan">
      <formula>$E$42</formula>
    </cfRule>
  </conditionalFormatting>
  <conditionalFormatting sqref="H43:S43">
    <cfRule type="cellIs" dxfId="40" priority="5" operator="lessThanOrEqual">
      <formula>$E$43</formula>
    </cfRule>
  </conditionalFormatting>
  <conditionalFormatting sqref="H44:S44">
    <cfRule type="cellIs" dxfId="39" priority="4" operator="lessThanOrEqual">
      <formula>$E$44</formula>
    </cfRule>
  </conditionalFormatting>
  <conditionalFormatting sqref="H45:S45">
    <cfRule type="cellIs" dxfId="38" priority="3" operator="lessThan">
      <formula>$E$45</formula>
    </cfRule>
  </conditionalFormatting>
  <conditionalFormatting sqref="H46:S46">
    <cfRule type="cellIs" dxfId="37" priority="2" operator="lessThanOrEqual">
      <formula>$E$46</formula>
    </cfRule>
  </conditionalFormatting>
  <conditionalFormatting sqref="H47:S47">
    <cfRule type="cellIs" dxfId="36" priority="1" operator="greaterThan">
      <formula>$E$47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  <ignoredErrors>
    <ignoredError sqref="N12 O12:S12 M15:S15 P16:S16 P7:S8 M17:S17 M25:S25 P22:S22 P36:S36 J39:S39 M9:S9 P42:S42 P26:S26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S45"/>
  <sheetViews>
    <sheetView zoomScale="70" zoomScaleNormal="70" workbookViewId="0">
      <selection activeCell="E3" sqref="E3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2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8"/>
      <c r="F1" s="1686" t="s">
        <v>835</v>
      </c>
      <c r="G1" s="1686"/>
      <c r="H1" s="1686"/>
      <c r="I1" s="1686"/>
      <c r="J1" s="1686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M3" t="s">
        <v>85</v>
      </c>
      <c r="N3" s="89">
        <v>40731</v>
      </c>
    </row>
    <row r="4" spans="1:19" x14ac:dyDescent="0.25">
      <c r="M4" t="s">
        <v>86</v>
      </c>
      <c r="N4">
        <v>3</v>
      </c>
    </row>
    <row r="5" spans="1:19" ht="15.75" thickBot="1" x14ac:dyDescent="0.3"/>
    <row r="6" spans="1:19" ht="24" customHeight="1" thickTop="1" x14ac:dyDescent="0.25">
      <c r="A6" s="337" t="s">
        <v>87</v>
      </c>
      <c r="B6" s="339" t="s">
        <v>337</v>
      </c>
      <c r="C6" s="338" t="s">
        <v>88</v>
      </c>
      <c r="D6" s="338" t="s">
        <v>664</v>
      </c>
      <c r="E6" s="338" t="s">
        <v>89</v>
      </c>
      <c r="F6" s="338" t="s">
        <v>83</v>
      </c>
      <c r="G6" s="338" t="s">
        <v>90</v>
      </c>
      <c r="H6" s="339" t="s">
        <v>0</v>
      </c>
      <c r="I6" s="339" t="s">
        <v>1</v>
      </c>
      <c r="J6" s="339" t="s">
        <v>2</v>
      </c>
      <c r="K6" s="339" t="s">
        <v>3</v>
      </c>
      <c r="L6" s="339" t="s">
        <v>4</v>
      </c>
      <c r="M6" s="339" t="s">
        <v>5</v>
      </c>
      <c r="N6" s="339" t="s">
        <v>6</v>
      </c>
      <c r="O6" s="339" t="s">
        <v>7</v>
      </c>
      <c r="P6" s="339" t="s">
        <v>8</v>
      </c>
      <c r="Q6" s="339" t="s">
        <v>9</v>
      </c>
      <c r="R6" s="339" t="s">
        <v>10</v>
      </c>
      <c r="S6" s="340" t="s">
        <v>11</v>
      </c>
    </row>
    <row r="7" spans="1:19" ht="24" customHeight="1" x14ac:dyDescent="0.3">
      <c r="A7" s="525" t="s">
        <v>125</v>
      </c>
      <c r="B7" s="362" t="s">
        <v>338</v>
      </c>
      <c r="C7" s="362" t="s">
        <v>91</v>
      </c>
      <c r="D7" s="697" t="s">
        <v>665</v>
      </c>
      <c r="E7" s="698">
        <v>0.15</v>
      </c>
      <c r="F7" s="362" t="s">
        <v>92</v>
      </c>
      <c r="G7" s="363" t="s">
        <v>93</v>
      </c>
      <c r="H7" s="708"/>
      <c r="I7" s="708"/>
      <c r="J7" s="470">
        <f>'MATG-JGS-JAAR AÑO (LINARES)'!E10</f>
        <v>0.19435262503818951</v>
      </c>
      <c r="K7" s="708"/>
      <c r="L7" s="708"/>
      <c r="M7" s="470">
        <f>'MATG-JGS-JAAR AÑO (LINARES)'!H10</f>
        <v>0.16514929296117295</v>
      </c>
      <c r="N7" s="708"/>
      <c r="O7" s="708"/>
      <c r="P7" s="470">
        <f>'MATG-JGS-JAAR AÑO (LINARES)'!K10</f>
        <v>0.1552150875022254</v>
      </c>
      <c r="Q7" s="708"/>
      <c r="R7" s="708"/>
      <c r="S7" s="709">
        <f>'MATG-JGS-JAAR AÑO (LINARES)'!N10</f>
        <v>0.13578814003728371</v>
      </c>
    </row>
    <row r="8" spans="1:19" ht="24" customHeight="1" x14ac:dyDescent="0.3">
      <c r="A8" s="365" t="s">
        <v>94</v>
      </c>
      <c r="B8" s="464" t="s">
        <v>339</v>
      </c>
      <c r="C8" s="464" t="s">
        <v>91</v>
      </c>
      <c r="D8" s="699" t="s">
        <v>666</v>
      </c>
      <c r="E8" s="700">
        <v>0.17</v>
      </c>
      <c r="F8" s="464" t="s">
        <v>92</v>
      </c>
      <c r="G8" s="465" t="s">
        <v>93</v>
      </c>
      <c r="H8" s="465"/>
      <c r="I8" s="465"/>
      <c r="J8" s="710">
        <f>'MATG-JGS-JAAR AÑO (LINARES)'!E20</f>
        <v>5.7247040976582016E-2</v>
      </c>
      <c r="K8" s="465"/>
      <c r="L8" s="465"/>
      <c r="M8" s="710">
        <f>'MATG-JGS-JAAR AÑO (LINARES)'!H20</f>
        <v>5.332458152741501E-2</v>
      </c>
      <c r="N8" s="465"/>
      <c r="O8" s="465"/>
      <c r="P8" s="710">
        <f>'MATG-JGS-JAAR AÑO (LINARES)'!K20</f>
        <v>5.0478290064603137E-2</v>
      </c>
      <c r="Q8" s="465"/>
      <c r="R8" s="465"/>
      <c r="S8" s="711">
        <f>'MATG-JGS-JAAR AÑO (LINARES)'!N20</f>
        <v>5.3606326932775096E-2</v>
      </c>
    </row>
    <row r="9" spans="1:19" ht="24" customHeight="1" x14ac:dyDescent="0.3">
      <c r="A9" s="365" t="s">
        <v>340</v>
      </c>
      <c r="B9" s="362" t="s">
        <v>339</v>
      </c>
      <c r="C9" s="362" t="s">
        <v>91</v>
      </c>
      <c r="D9" s="697" t="s">
        <v>667</v>
      </c>
      <c r="E9" s="698">
        <v>0.43</v>
      </c>
      <c r="F9" s="362" t="s">
        <v>92</v>
      </c>
      <c r="G9" s="363" t="s">
        <v>98</v>
      </c>
      <c r="H9" s="470">
        <f>DATOS!D247</f>
        <v>0.35757920380055386</v>
      </c>
      <c r="I9" s="470">
        <f>DATOS!H247</f>
        <v>0.50587448356895981</v>
      </c>
      <c r="J9" s="470">
        <f>DATOS!L247</f>
        <v>0.34449623609227165</v>
      </c>
      <c r="K9" s="470">
        <f>DATOS!P247</f>
        <v>0.45071720785281499</v>
      </c>
      <c r="L9" s="470">
        <f>DATOS!T247</f>
        <v>0.36761289753793241</v>
      </c>
      <c r="M9" s="470">
        <f>DATOS!X247</f>
        <v>0.27600701742119926</v>
      </c>
      <c r="N9" s="470">
        <f>DATOS!AB247</f>
        <v>0.28107280988156841</v>
      </c>
      <c r="O9" s="712">
        <f>DATOS!AF247</f>
        <v>2.0484535254098999</v>
      </c>
      <c r="P9" s="470">
        <f>DATOS!AJ247</f>
        <v>0.29299465636053457</v>
      </c>
      <c r="Q9" s="470">
        <f>DATOS!AN247</f>
        <v>0.27767492985716574</v>
      </c>
      <c r="R9" s="470">
        <f>DATOS!AR247</f>
        <v>0.32255712930134711</v>
      </c>
      <c r="S9" s="709">
        <f>DATOS!AV247</f>
        <v>1.7202853481377871</v>
      </c>
    </row>
    <row r="10" spans="1:19" ht="24" customHeight="1" x14ac:dyDescent="0.3">
      <c r="A10" s="365" t="s">
        <v>341</v>
      </c>
      <c r="B10" s="464" t="s">
        <v>339</v>
      </c>
      <c r="C10" s="464" t="s">
        <v>95</v>
      </c>
      <c r="D10" s="699" t="s">
        <v>665</v>
      </c>
      <c r="E10" s="466">
        <v>2</v>
      </c>
      <c r="F10" s="464" t="s">
        <v>92</v>
      </c>
      <c r="G10" s="465" t="s">
        <v>93</v>
      </c>
      <c r="H10" s="465"/>
      <c r="I10" s="465"/>
      <c r="J10" s="713">
        <f>'MATG-JGS-JAAR AÑO (LINARES)'!E40</f>
        <v>3</v>
      </c>
      <c r="K10" s="465"/>
      <c r="L10" s="465"/>
      <c r="M10" s="713">
        <f>'MATG-JGS-JAAR AÑO (LINARES)'!H40</f>
        <v>3</v>
      </c>
      <c r="N10" s="465"/>
      <c r="O10" s="465"/>
      <c r="P10" s="713">
        <f>'MATG-JGS-JAAR AÑO (LINARES)'!K40</f>
        <v>2</v>
      </c>
      <c r="Q10" s="465"/>
      <c r="R10" s="465"/>
      <c r="S10" s="714">
        <f>'MATG-JGS-JAAR AÑO (LINARES)'!N40</f>
        <v>2</v>
      </c>
    </row>
    <row r="11" spans="1:19" ht="24" customHeight="1" x14ac:dyDescent="0.3">
      <c r="A11" s="525" t="s">
        <v>342</v>
      </c>
      <c r="B11" s="362" t="s">
        <v>338</v>
      </c>
      <c r="C11" s="362" t="s">
        <v>95</v>
      </c>
      <c r="D11" s="697" t="s">
        <v>665</v>
      </c>
      <c r="E11" s="461">
        <v>2</v>
      </c>
      <c r="F11" s="362" t="s">
        <v>92</v>
      </c>
      <c r="G11" s="363" t="s">
        <v>93</v>
      </c>
      <c r="H11" s="708"/>
      <c r="I11" s="708"/>
      <c r="J11" s="715">
        <f>'MATG-JGS-JAAR AÑO (LINARES)'!E49</f>
        <v>0</v>
      </c>
      <c r="K11" s="708"/>
      <c r="L11" s="708"/>
      <c r="M11" s="715">
        <f>'MATG-JGS-JAAR AÑO (LINARES)'!H49</f>
        <v>0</v>
      </c>
      <c r="N11" s="708"/>
      <c r="O11" s="708"/>
      <c r="P11" s="715">
        <f>'MATG-JGS-JAAR AÑO (LINARES)'!K49</f>
        <v>0</v>
      </c>
      <c r="Q11" s="708"/>
      <c r="R11" s="708"/>
      <c r="S11" s="716">
        <f>'MATG-JGS-JAAR AÑO (LINARES)'!N49</f>
        <v>0</v>
      </c>
    </row>
    <row r="12" spans="1:19" ht="24" customHeight="1" x14ac:dyDescent="0.3">
      <c r="A12" s="365" t="s">
        <v>96</v>
      </c>
      <c r="B12" s="468" t="s">
        <v>338</v>
      </c>
      <c r="C12" s="464" t="s">
        <v>97</v>
      </c>
      <c r="D12" s="699" t="s">
        <v>668</v>
      </c>
      <c r="E12" s="700">
        <v>0.02</v>
      </c>
      <c r="F12" s="464" t="s">
        <v>92</v>
      </c>
      <c r="G12" s="465" t="s">
        <v>98</v>
      </c>
      <c r="H12" s="710">
        <f>'MATG-JGS-JAAR AÑO (LINARES)'!C$58</f>
        <v>0.10898408641616997</v>
      </c>
      <c r="I12" s="710">
        <f>'MATG-JGS-JAAR AÑO (LINARES)'!D$58</f>
        <v>0</v>
      </c>
      <c r="J12" s="717">
        <f>'MATG-JGS-JAAR AÑO (LINARES)'!E$58</f>
        <v>0</v>
      </c>
      <c r="K12" s="710">
        <f>'MATG-JGS-JAAR AÑO (LINARES)'!F$58</f>
        <v>0</v>
      </c>
      <c r="L12" s="710">
        <f>'MATG-JGS-JAAR AÑO (LINARES)'!G$58</f>
        <v>0</v>
      </c>
      <c r="M12" s="710">
        <f>'MATG-JGS-JAAR AÑO (LINARES)'!H$58</f>
        <v>0</v>
      </c>
      <c r="N12" s="710">
        <f>'MATG-JGS-JAAR AÑO (LINARES)'!I$58</f>
        <v>0</v>
      </c>
      <c r="O12" s="710">
        <f>'MATG-JGS-JAAR AÑO (LINARES)'!J$58</f>
        <v>0</v>
      </c>
      <c r="P12" s="710">
        <f>'MATG-JGS-JAAR AÑO (LINARES)'!K$58</f>
        <v>0</v>
      </c>
      <c r="Q12" s="710">
        <f>'MATG-JGS-JAAR AÑO (LINARES)'!L$58</f>
        <v>0</v>
      </c>
      <c r="R12" s="710">
        <f>'MATG-JGS-JAAR AÑO (LINARES)'!M$58</f>
        <v>0</v>
      </c>
      <c r="S12" s="711">
        <f>'MATG-JGS-JAAR AÑO (LINARES)'!N$58</f>
        <v>0</v>
      </c>
    </row>
    <row r="13" spans="1:19" ht="24" customHeight="1" x14ac:dyDescent="0.3">
      <c r="A13" s="525" t="s">
        <v>344</v>
      </c>
      <c r="B13" s="362" t="s">
        <v>338</v>
      </c>
      <c r="C13" s="362" t="s">
        <v>345</v>
      </c>
      <c r="D13" s="697" t="s">
        <v>666</v>
      </c>
      <c r="E13" s="461">
        <v>35</v>
      </c>
      <c r="F13" s="362" t="s">
        <v>110</v>
      </c>
      <c r="G13" s="363" t="s">
        <v>98</v>
      </c>
      <c r="H13" s="708">
        <f>'JCC-NLM AÑO (LINARES)'!C$33</f>
        <v>101.38</v>
      </c>
      <c r="I13" s="708">
        <f>'JCC-NLM AÑO (LINARES)'!D$33</f>
        <v>100.13</v>
      </c>
      <c r="J13" s="708">
        <f>'JCC-NLM AÑO (LINARES)'!E$33</f>
        <v>100.68</v>
      </c>
      <c r="K13" s="708">
        <f>'JCC-NLM AÑO (LINARES)'!F$33</f>
        <v>101.2</v>
      </c>
      <c r="L13" s="708">
        <f>'JCC-NLM AÑO (LINARES)'!G$33</f>
        <v>101.37</v>
      </c>
      <c r="M13" s="708">
        <f>'JCC-NLM AÑO (LINARES)'!H$33</f>
        <v>101</v>
      </c>
      <c r="N13" s="708">
        <f>'JCC-NLM AÑO (LINARES)'!I$33</f>
        <v>101</v>
      </c>
      <c r="O13" s="708">
        <f>'JCC-NLM AÑO (LINARES)'!J$33</f>
        <v>102</v>
      </c>
      <c r="P13" s="708">
        <f>'JCC-NLM AÑO (LINARES)'!K$33</f>
        <v>100.1</v>
      </c>
      <c r="Q13" s="708">
        <f>'JCC-NLM AÑO (LINARES)'!L$33</f>
        <v>106</v>
      </c>
      <c r="R13" s="708">
        <f>'JCC-NLM AÑO (LINARES)'!M$33</f>
        <v>103</v>
      </c>
      <c r="S13" s="718">
        <f>'JCC-NLM AÑO (LINARES)'!N$33</f>
        <v>100.25</v>
      </c>
    </row>
    <row r="14" spans="1:19" ht="24" hidden="1" customHeight="1" x14ac:dyDescent="0.3">
      <c r="A14" s="525" t="s">
        <v>346</v>
      </c>
      <c r="B14" s="467" t="s">
        <v>338</v>
      </c>
      <c r="C14" s="464" t="s">
        <v>345</v>
      </c>
      <c r="D14" s="464"/>
      <c r="E14" s="469">
        <v>0.95</v>
      </c>
      <c r="F14" s="464" t="s">
        <v>110</v>
      </c>
      <c r="G14" s="465" t="s">
        <v>98</v>
      </c>
      <c r="H14" s="710" t="e">
        <f>'JCC-NLM AÑO (LINARES)'!#REF!</f>
        <v>#REF!</v>
      </c>
      <c r="I14" s="710" t="e">
        <f>'JCC-NLM AÑO (LINARES)'!#REF!</f>
        <v>#REF!</v>
      </c>
      <c r="J14" s="710" t="e">
        <f>'JCC-NLM AÑO (LINARES)'!#REF!</f>
        <v>#REF!</v>
      </c>
      <c r="K14" s="710" t="e">
        <f>'JCC-NLM AÑO (LINARES)'!#REF!</f>
        <v>#REF!</v>
      </c>
      <c r="L14" s="710" t="e">
        <f>'JCC-NLM AÑO (LINARES)'!#REF!</f>
        <v>#REF!</v>
      </c>
      <c r="M14" s="710" t="e">
        <f>'JCC-NLM AÑO (LINARES)'!#REF!</f>
        <v>#REF!</v>
      </c>
      <c r="N14" s="710" t="e">
        <f>'JCC-NLM AÑO (LINARES)'!#REF!</f>
        <v>#REF!</v>
      </c>
      <c r="O14" s="710" t="e">
        <f>'JCC-NLM AÑO (LINARES)'!#REF!</f>
        <v>#REF!</v>
      </c>
      <c r="P14" s="710" t="e">
        <f>'JCC-NLM AÑO (LINARES)'!#REF!</f>
        <v>#REF!</v>
      </c>
      <c r="Q14" s="710" t="e">
        <f>'JCC-NLM AÑO (LINARES)'!#REF!</f>
        <v>#REF!</v>
      </c>
      <c r="R14" s="710" t="e">
        <f>'JCC-NLM AÑO (LINARES)'!#REF!</f>
        <v>#REF!</v>
      </c>
      <c r="S14" s="711" t="e">
        <f>'JCC-NLM AÑO (LINARES)'!#REF!</f>
        <v>#REF!</v>
      </c>
    </row>
    <row r="15" spans="1:19" ht="24" customHeight="1" x14ac:dyDescent="0.3">
      <c r="A15" s="365" t="s">
        <v>99</v>
      </c>
      <c r="B15" s="364" t="s">
        <v>338</v>
      </c>
      <c r="C15" s="364" t="s">
        <v>100</v>
      </c>
      <c r="D15" s="701" t="s">
        <v>666</v>
      </c>
      <c r="E15" s="698">
        <v>0.15</v>
      </c>
      <c r="F15" s="364" t="s">
        <v>101</v>
      </c>
      <c r="G15" s="470" t="s">
        <v>98</v>
      </c>
      <c r="H15" s="470">
        <f>'RSB (LINARES)'!C$28</f>
        <v>7.575757575757576E-2</v>
      </c>
      <c r="I15" s="470">
        <f>'RSB (LINARES)'!D$28</f>
        <v>7.2992700729927001E-2</v>
      </c>
      <c r="J15" s="470">
        <f>'RSB (LINARES)'!E$28</f>
        <v>7.4515648286140101E-2</v>
      </c>
      <c r="K15" s="470">
        <f>'RSB (LINARES)'!F$28</f>
        <v>7.8125E-2</v>
      </c>
      <c r="L15" s="470">
        <f>'RSB (LINARES)'!G$28</f>
        <v>7.6616610481152328E-2</v>
      </c>
      <c r="M15" s="470">
        <f>'RSB (LINARES)'!H$28</f>
        <v>7.1709261968275817E-2</v>
      </c>
      <c r="N15" s="470">
        <f>'RSB (LINARES)'!I$28</f>
        <v>6.5651260504201669E-2</v>
      </c>
      <c r="O15" s="470">
        <f>'RSB (LINARES)'!J$28</f>
        <v>6.6666666666666666E-2</v>
      </c>
      <c r="P15" s="470">
        <f>'RSB (LINARES)'!K$28</f>
        <v>6.4935064935064929E-2</v>
      </c>
      <c r="Q15" s="470">
        <f>'RSB (LINARES)'!L$28</f>
        <v>6.541077969649399E-2</v>
      </c>
      <c r="R15" s="470">
        <f>'RSB (LINARES)'!M$28</f>
        <v>6.6401062416998669E-2</v>
      </c>
      <c r="S15" s="709">
        <f>'RSB (LINARES)'!N$28</f>
        <v>6.7787418655097603E-2</v>
      </c>
    </row>
    <row r="16" spans="1:19" ht="24" customHeight="1" x14ac:dyDescent="0.3">
      <c r="A16" s="365" t="s">
        <v>102</v>
      </c>
      <c r="B16" s="468" t="s">
        <v>338</v>
      </c>
      <c r="C16" s="464" t="s">
        <v>100</v>
      </c>
      <c r="D16" s="699" t="s">
        <v>666</v>
      </c>
      <c r="E16" s="700">
        <v>0.6</v>
      </c>
      <c r="F16" s="464" t="s">
        <v>101</v>
      </c>
      <c r="G16" s="465" t="s">
        <v>93</v>
      </c>
      <c r="H16" s="719"/>
      <c r="I16" s="719"/>
      <c r="J16" s="710">
        <f>'RSB (LINARES)'!E38</f>
        <v>0.56795634920634919</v>
      </c>
      <c r="K16" s="719"/>
      <c r="L16" s="719"/>
      <c r="M16" s="710">
        <f>'RSB (LINARES)'!H38</f>
        <v>0.60305750153277116</v>
      </c>
      <c r="N16" s="719"/>
      <c r="O16" s="719"/>
      <c r="P16" s="710">
        <f>'RSB (LINARES)'!K38</f>
        <v>0.52594670406732114</v>
      </c>
      <c r="Q16" s="719"/>
      <c r="R16" s="719"/>
      <c r="S16" s="711">
        <f>'RSB (LINARES)'!N38</f>
        <v>0.53215077605321504</v>
      </c>
    </row>
    <row r="17" spans="1:19" ht="24" customHeight="1" x14ac:dyDescent="0.3">
      <c r="A17" s="365" t="s">
        <v>103</v>
      </c>
      <c r="B17" s="462" t="s">
        <v>338</v>
      </c>
      <c r="C17" s="362" t="s">
        <v>100</v>
      </c>
      <c r="D17" s="697" t="s">
        <v>666</v>
      </c>
      <c r="E17" s="698">
        <v>0.04</v>
      </c>
      <c r="F17" s="362" t="s">
        <v>101</v>
      </c>
      <c r="G17" s="363" t="s">
        <v>98</v>
      </c>
      <c r="H17" s="720">
        <f>'RSB (LINARES)'!C$47</f>
        <v>0</v>
      </c>
      <c r="I17" s="720">
        <f>'RSB (LINARES)'!D$47</f>
        <v>0</v>
      </c>
      <c r="J17" s="470">
        <f>'RSB (LINARES)'!E$47</f>
        <v>0</v>
      </c>
      <c r="K17" s="720">
        <f>'RSB (LINARES)'!F$47</f>
        <v>0</v>
      </c>
      <c r="L17" s="470">
        <f>'RSB (LINARES)'!G$47</f>
        <v>0</v>
      </c>
      <c r="M17" s="470">
        <f>'RSB (LINARES)'!H$47</f>
        <v>0</v>
      </c>
      <c r="N17" s="470">
        <f>'RSB (LINARES)'!I$47</f>
        <v>0</v>
      </c>
      <c r="O17" s="470">
        <f>'RSB (LINARES)'!J$47</f>
        <v>0</v>
      </c>
      <c r="P17" s="470">
        <f>'RSB (LINARES)'!K$47</f>
        <v>0</v>
      </c>
      <c r="Q17" s="470">
        <f>'RSB (LINARES)'!L$47</f>
        <v>0</v>
      </c>
      <c r="R17" s="470">
        <f>'RSB (LINARES)'!M$47</f>
        <v>0</v>
      </c>
      <c r="S17" s="709">
        <f>'RSB (LINARES)'!N$47</f>
        <v>0</v>
      </c>
    </row>
    <row r="18" spans="1:19" ht="24" customHeight="1" x14ac:dyDescent="0.3">
      <c r="A18" s="365" t="s">
        <v>104</v>
      </c>
      <c r="B18" s="468" t="s">
        <v>338</v>
      </c>
      <c r="C18" s="464" t="s">
        <v>100</v>
      </c>
      <c r="D18" s="699" t="s">
        <v>666</v>
      </c>
      <c r="E18" s="466">
        <v>0</v>
      </c>
      <c r="F18" s="464" t="s">
        <v>101</v>
      </c>
      <c r="G18" s="465" t="s">
        <v>98</v>
      </c>
      <c r="H18" s="713">
        <f>'RSB (LINARES)'!C$54</f>
        <v>0</v>
      </c>
      <c r="I18" s="713">
        <f>'RSB (LINARES)'!D$54</f>
        <v>0</v>
      </c>
      <c r="J18" s="713">
        <f>'RSB (LINARES)'!E$54</f>
        <v>0</v>
      </c>
      <c r="K18" s="713">
        <f>'RSB (LINARES)'!F$54</f>
        <v>0</v>
      </c>
      <c r="L18" s="713">
        <f>'RSB (LINARES)'!G$54</f>
        <v>0</v>
      </c>
      <c r="M18" s="713">
        <f>'RSB (LINARES)'!H$54</f>
        <v>0</v>
      </c>
      <c r="N18" s="713">
        <f>'RSB (LINARES)'!I$54</f>
        <v>0</v>
      </c>
      <c r="O18" s="713">
        <f>'RSB (LINARES)'!J$54</f>
        <v>0</v>
      </c>
      <c r="P18" s="713">
        <f>'RSB (LINARES)'!K$54</f>
        <v>0</v>
      </c>
      <c r="Q18" s="713">
        <f>'RSB (LINARES)'!L$54</f>
        <v>0</v>
      </c>
      <c r="R18" s="713">
        <f>'RSB (LINARES)'!M$54</f>
        <v>0</v>
      </c>
      <c r="S18" s="714">
        <f>'RSB (LINARES)'!N$54</f>
        <v>0</v>
      </c>
    </row>
    <row r="19" spans="1:19" ht="24" customHeight="1" x14ac:dyDescent="0.3">
      <c r="A19" s="365" t="s">
        <v>105</v>
      </c>
      <c r="B19" s="462" t="s">
        <v>339</v>
      </c>
      <c r="C19" s="362" t="s">
        <v>100</v>
      </c>
      <c r="D19" s="697" t="s">
        <v>666</v>
      </c>
      <c r="E19" s="698">
        <v>0.06</v>
      </c>
      <c r="F19" s="362" t="s">
        <v>101</v>
      </c>
      <c r="G19" s="363" t="s">
        <v>93</v>
      </c>
      <c r="H19" s="708"/>
      <c r="I19" s="708"/>
      <c r="J19" s="470">
        <f>'RSB (LINARES)'!E19</f>
        <v>1.35E-2</v>
      </c>
      <c r="K19" s="708"/>
      <c r="L19" s="708"/>
      <c r="M19" s="470">
        <f>'RSB (LINARES)'!H19</f>
        <v>4.7999999999999996E-3</v>
      </c>
      <c r="N19" s="708"/>
      <c r="O19" s="708"/>
      <c r="P19" s="470">
        <f>'RSB (LINARES)'!K19</f>
        <v>1.3599999999999999E-2</v>
      </c>
      <c r="Q19" s="708"/>
      <c r="R19" s="708"/>
      <c r="S19" s="709">
        <f>'RSB (LINARES)'!N19</f>
        <v>3.2599999999999997E-2</v>
      </c>
    </row>
    <row r="20" spans="1:19" ht="24" customHeight="1" x14ac:dyDescent="0.3">
      <c r="A20" s="365" t="s">
        <v>106</v>
      </c>
      <c r="B20" s="468" t="s">
        <v>338</v>
      </c>
      <c r="C20" s="464" t="s">
        <v>107</v>
      </c>
      <c r="D20" s="699" t="s">
        <v>668</v>
      </c>
      <c r="E20" s="700">
        <v>0.85</v>
      </c>
      <c r="F20" s="464" t="s">
        <v>101</v>
      </c>
      <c r="G20" s="465" t="s">
        <v>98</v>
      </c>
      <c r="H20" s="721">
        <f>'RSB (LINARES)'!C$61</f>
        <v>1.5</v>
      </c>
      <c r="I20" s="721">
        <f>'RSB (LINARES)'!D$61</f>
        <v>1.5</v>
      </c>
      <c r="J20" s="721">
        <f>'RSB (LINARES)'!E$61</f>
        <v>1.5</v>
      </c>
      <c r="K20" s="721">
        <f>'RSB (LINARES)'!F$61</f>
        <v>1.5</v>
      </c>
      <c r="L20" s="721">
        <f>'RSB (LINARES)'!G$61</f>
        <v>1.5</v>
      </c>
      <c r="M20" s="721">
        <f>'RSB (LINARES)'!H$61</f>
        <v>1</v>
      </c>
      <c r="N20" s="721">
        <f>'RSB (LINARES)'!I$61</f>
        <v>1</v>
      </c>
      <c r="O20" s="721">
        <f>'RSB (LINARES)'!J$61</f>
        <v>1</v>
      </c>
      <c r="P20" s="721">
        <f>'RSB (LINARES)'!K$61</f>
        <v>1</v>
      </c>
      <c r="Q20" s="721">
        <f>'RSB (LINARES)'!L$61</f>
        <v>1</v>
      </c>
      <c r="R20" s="721">
        <f>'RSB (LINARES)'!M$61</f>
        <v>1</v>
      </c>
      <c r="S20" s="722">
        <f>'RSB (LINARES)'!N$61</f>
        <v>1</v>
      </c>
    </row>
    <row r="21" spans="1:19" ht="24" customHeight="1" x14ac:dyDescent="0.3">
      <c r="A21" s="365" t="s">
        <v>108</v>
      </c>
      <c r="B21" s="462" t="s">
        <v>338</v>
      </c>
      <c r="C21" s="362" t="s">
        <v>107</v>
      </c>
      <c r="D21" s="697" t="s">
        <v>668</v>
      </c>
      <c r="E21" s="698">
        <v>0.85</v>
      </c>
      <c r="F21" s="362" t="s">
        <v>101</v>
      </c>
      <c r="G21" s="363" t="s">
        <v>98</v>
      </c>
      <c r="H21" s="723">
        <f>'RSB (LINARES)'!C$68</f>
        <v>1.5</v>
      </c>
      <c r="I21" s="723">
        <f>'RSB (LINARES)'!D$68</f>
        <v>1.5</v>
      </c>
      <c r="J21" s="723">
        <f>'RSB (LINARES)'!E$68</f>
        <v>1.5</v>
      </c>
      <c r="K21" s="723">
        <f>'RSB (LINARES)'!F$68</f>
        <v>1.5</v>
      </c>
      <c r="L21" s="723">
        <f>'RSB (LINARES)'!G$68</f>
        <v>1.5</v>
      </c>
      <c r="M21" s="723">
        <f>'RSB (LINARES)'!H$68</f>
        <v>1</v>
      </c>
      <c r="N21" s="723">
        <f>'RSB (LINARES)'!I$68</f>
        <v>1</v>
      </c>
      <c r="O21" s="723">
        <f>'RSB (LINARES)'!J$68</f>
        <v>1</v>
      </c>
      <c r="P21" s="723">
        <f>'RSB (LINARES)'!K$68</f>
        <v>0.875</v>
      </c>
      <c r="Q21" s="723">
        <f>'RSB (LINARES)'!L$68</f>
        <v>1</v>
      </c>
      <c r="R21" s="723">
        <f>'RSB (LINARES)'!M$68</f>
        <v>1</v>
      </c>
      <c r="S21" s="724">
        <f>'RSB (LINARES)'!N$68</f>
        <v>1</v>
      </c>
    </row>
    <row r="22" spans="1:19" ht="24" customHeight="1" x14ac:dyDescent="0.3">
      <c r="A22" s="365" t="s">
        <v>357</v>
      </c>
      <c r="B22" s="464" t="s">
        <v>339</v>
      </c>
      <c r="C22" s="464" t="s">
        <v>107</v>
      </c>
      <c r="D22" s="699" t="s">
        <v>669</v>
      </c>
      <c r="E22" s="700">
        <v>0.21</v>
      </c>
      <c r="F22" s="464" t="s">
        <v>101</v>
      </c>
      <c r="G22" s="465" t="s">
        <v>93</v>
      </c>
      <c r="H22" s="719"/>
      <c r="I22" s="719"/>
      <c r="J22" s="710">
        <f>'RSB (LINARES)'!E79</f>
        <v>0.25042933902037773</v>
      </c>
      <c r="K22" s="719"/>
      <c r="L22" s="719"/>
      <c r="M22" s="710">
        <f>'RSB (LINARES)'!H79</f>
        <v>0.28034978707966429</v>
      </c>
      <c r="N22" s="719"/>
      <c r="O22" s="719"/>
      <c r="P22" s="710">
        <f>'RSB (LINARES)'!K79</f>
        <v>0.29698950105958316</v>
      </c>
      <c r="Q22" s="719"/>
      <c r="R22" s="719"/>
      <c r="S22" s="711">
        <f>'RSB (LINARES)'!N79</f>
        <v>0.29578755700432569</v>
      </c>
    </row>
    <row r="23" spans="1:19" ht="24" customHeight="1" x14ac:dyDescent="0.3">
      <c r="A23" s="525" t="s">
        <v>358</v>
      </c>
      <c r="B23" s="362" t="s">
        <v>339</v>
      </c>
      <c r="C23" s="362" t="s">
        <v>359</v>
      </c>
      <c r="D23" s="697" t="s">
        <v>668</v>
      </c>
      <c r="E23" s="471">
        <v>1</v>
      </c>
      <c r="F23" s="362" t="s">
        <v>115</v>
      </c>
      <c r="G23" s="363" t="s">
        <v>124</v>
      </c>
      <c r="H23" s="470">
        <f>DATOS!C$54</f>
        <v>0</v>
      </c>
      <c r="I23" s="470">
        <f>DATOS!E$54</f>
        <v>0</v>
      </c>
      <c r="J23" s="470">
        <f>DATOS!G$54</f>
        <v>0</v>
      </c>
      <c r="K23" s="470">
        <f>DATOS!I$54</f>
        <v>0</v>
      </c>
      <c r="L23" s="470">
        <f>DATOS!K$54</f>
        <v>0</v>
      </c>
      <c r="M23" s="470">
        <f>DATOS!M$54</f>
        <v>0</v>
      </c>
      <c r="N23" s="470">
        <f>DATOS!O$54</f>
        <v>0</v>
      </c>
      <c r="O23" s="470">
        <f>DATOS!Q$54</f>
        <v>0</v>
      </c>
      <c r="P23" s="470">
        <f>DATOS!S$54</f>
        <v>0</v>
      </c>
      <c r="Q23" s="470">
        <f>DATOS!U$54</f>
        <v>0</v>
      </c>
      <c r="R23" s="470">
        <f>DATOS!W$54</f>
        <v>0</v>
      </c>
      <c r="S23" s="709">
        <f>DATOS!Y$54</f>
        <v>0</v>
      </c>
    </row>
    <row r="24" spans="1:19" ht="24" customHeight="1" x14ac:dyDescent="0.3">
      <c r="A24" s="525" t="s">
        <v>360</v>
      </c>
      <c r="B24" s="464" t="s">
        <v>338</v>
      </c>
      <c r="C24" s="464" t="s">
        <v>359</v>
      </c>
      <c r="D24" s="741" t="s">
        <v>670</v>
      </c>
      <c r="E24" s="469">
        <v>0</v>
      </c>
      <c r="F24" s="464" t="s">
        <v>115</v>
      </c>
      <c r="G24" s="465" t="s">
        <v>124</v>
      </c>
      <c r="H24" s="719"/>
      <c r="I24" s="719"/>
      <c r="J24" s="710"/>
      <c r="K24" s="719"/>
      <c r="L24" s="719"/>
      <c r="M24" s="710"/>
      <c r="N24" s="719"/>
      <c r="O24" s="719"/>
      <c r="P24" s="710"/>
      <c r="Q24" s="719"/>
      <c r="R24" s="719"/>
      <c r="S24" s="711">
        <f>'JNL-MCG AÑO (LINARES)'!C87</f>
        <v>0</v>
      </c>
    </row>
    <row r="25" spans="1:19" ht="24" customHeight="1" x14ac:dyDescent="0.3">
      <c r="A25" s="365" t="s">
        <v>109</v>
      </c>
      <c r="B25" s="362" t="s">
        <v>339</v>
      </c>
      <c r="C25" s="362" t="s">
        <v>112</v>
      </c>
      <c r="D25" s="697" t="s">
        <v>668</v>
      </c>
      <c r="E25" s="702">
        <v>360</v>
      </c>
      <c r="F25" s="362" t="s">
        <v>110</v>
      </c>
      <c r="G25" s="363" t="s">
        <v>98</v>
      </c>
      <c r="H25" s="725">
        <f>'JCC-NLM AÑO (LINARES)'!C$10</f>
        <v>529.91162222222226</v>
      </c>
      <c r="I25" s="726">
        <f>'JCC-NLM AÑO (LINARES)'!D$10</f>
        <v>478.15595555555558</v>
      </c>
      <c r="J25" s="726">
        <f>'JCC-NLM AÑO (LINARES)'!E$10</f>
        <v>515.22086167800455</v>
      </c>
      <c r="K25" s="726">
        <f>'JCC-NLM AÑO (LINARES)'!F$10</f>
        <v>521.78058536585365</v>
      </c>
      <c r="L25" s="726">
        <f>'JCC-NLM AÑO (LINARES)'!G$10</f>
        <v>589.27991008045433</v>
      </c>
      <c r="M25" s="726">
        <f>'JCC-NLM AÑO (LINARES)'!H$10</f>
        <v>583.92347262376791</v>
      </c>
      <c r="N25" s="726">
        <f>'JCC-NLM AÑO (LINARES)'!I$10</f>
        <v>538.65562534759692</v>
      </c>
      <c r="O25" s="726">
        <f>'JCC-NLM AÑO (LINARES)'!J$10</f>
        <v>122.2594939271255</v>
      </c>
      <c r="P25" s="726">
        <f>'JCC-NLM AÑO (LINARES)'!K$10</f>
        <v>480.97602693602698</v>
      </c>
      <c r="Q25" s="726">
        <f>'JCC-NLM AÑO (LINARES)'!L$10</f>
        <v>487.75582763045333</v>
      </c>
      <c r="R25" s="726">
        <f>'JCC-NLM AÑO (LINARES)'!M$10</f>
        <v>476.197724665392</v>
      </c>
      <c r="S25" s="727">
        <f>'JCC-NLM AÑO (LINARES)'!N$10</f>
        <v>212.47264437689967</v>
      </c>
    </row>
    <row r="26" spans="1:19" ht="24" customHeight="1" x14ac:dyDescent="0.3">
      <c r="A26" s="365" t="s">
        <v>111</v>
      </c>
      <c r="B26" s="468" t="s">
        <v>339</v>
      </c>
      <c r="C26" s="464" t="s">
        <v>112</v>
      </c>
      <c r="D26" s="699" t="s">
        <v>666</v>
      </c>
      <c r="E26" s="700">
        <v>0.55000000000000004</v>
      </c>
      <c r="F26" s="464" t="s">
        <v>110</v>
      </c>
      <c r="G26" s="465" t="s">
        <v>98</v>
      </c>
      <c r="H26" s="710">
        <f>'JCC-NLM AÑO (LINARES)'!C$21</f>
        <v>0</v>
      </c>
      <c r="I26" s="710">
        <f>'JCC-NLM AÑO (LINARES)'!D$21</f>
        <v>0</v>
      </c>
      <c r="J26" s="710">
        <f>'JCC-NLM AÑO (LINARES)'!E$21</f>
        <v>0.54556620680093026</v>
      </c>
      <c r="K26" s="710">
        <f>'JCC-NLM AÑO (LINARES)'!F$21</f>
        <v>0</v>
      </c>
      <c r="L26" s="710">
        <f>'JCC-NLM AÑO (LINARES)'!G$21</f>
        <v>0</v>
      </c>
      <c r="M26" s="710">
        <f>'JCC-NLM AÑO (LINARES)'!H$21</f>
        <v>0.53348404461020238</v>
      </c>
      <c r="N26" s="710">
        <f>'JCC-NLM AÑO (LINARES)'!I$21</f>
        <v>0</v>
      </c>
      <c r="O26" s="710">
        <f>'JCC-NLM AÑO (LINARES)'!J$21</f>
        <v>0</v>
      </c>
      <c r="P26" s="710">
        <f>'JCC-NLM AÑO (LINARES)'!K$21</f>
        <v>0.57457218390208276</v>
      </c>
      <c r="Q26" s="710">
        <f>'JCC-NLM AÑO (LINARES)'!L$21</f>
        <v>0</v>
      </c>
      <c r="R26" s="710">
        <f>'JCC-NLM AÑO (LINARES)'!M$21</f>
        <v>0</v>
      </c>
      <c r="S26" s="710">
        <f>'JCC-NLM AÑO (LINARES)'!N$21</f>
        <v>0.59132962065451167</v>
      </c>
    </row>
    <row r="27" spans="1:19" ht="24" customHeight="1" x14ac:dyDescent="0.3">
      <c r="A27" s="525" t="s">
        <v>347</v>
      </c>
      <c r="B27" s="362" t="s">
        <v>338</v>
      </c>
      <c r="C27" s="362" t="s">
        <v>112</v>
      </c>
      <c r="D27" s="697" t="s">
        <v>668</v>
      </c>
      <c r="E27" s="698">
        <v>1</v>
      </c>
      <c r="F27" s="362" t="s">
        <v>110</v>
      </c>
      <c r="G27" s="363" t="s">
        <v>98</v>
      </c>
      <c r="H27" s="470">
        <f>'JCC-NLM AÑO (LINARES)'!C$46</f>
        <v>0.92</v>
      </c>
      <c r="I27" s="470">
        <f>'JCC-NLM AÑO (LINARES)'!D$46</f>
        <v>0.92</v>
      </c>
      <c r="J27" s="470">
        <f>'JCC-NLM AÑO (LINARES)'!E$46</f>
        <v>0.91</v>
      </c>
      <c r="K27" s="470">
        <f>'JCC-NLM AÑO (LINARES)'!F$46</f>
        <v>0.9</v>
      </c>
      <c r="L27" s="470">
        <f>'JCC-NLM AÑO (LINARES)'!G$46</f>
        <v>0.93</v>
      </c>
      <c r="M27" s="470">
        <f>'JCC-NLM AÑO (LINARES)'!H$46</f>
        <v>0.86</v>
      </c>
      <c r="N27" s="470">
        <f>'JCC-NLM AÑO (LINARES)'!I$46</f>
        <v>0.88</v>
      </c>
      <c r="O27" s="470">
        <f>'JCC-NLM AÑO (LINARES)'!J$46</f>
        <v>0.95</v>
      </c>
      <c r="P27" s="470">
        <f>'JCC-NLM AÑO (LINARES)'!K$46</f>
        <v>0.86</v>
      </c>
      <c r="Q27" s="470">
        <f>'JCC-NLM AÑO (LINARES)'!L$46</f>
        <v>0.91</v>
      </c>
      <c r="R27" s="470">
        <f>'JCC-NLM AÑO (LINARES)'!M$46</f>
        <v>0.92</v>
      </c>
      <c r="S27" s="709">
        <f>'JCC-NLM AÑO (LINARES)'!N$46</f>
        <v>0.89</v>
      </c>
    </row>
    <row r="28" spans="1:19" ht="24" hidden="1" customHeight="1" x14ac:dyDescent="0.3">
      <c r="A28" s="525" t="s">
        <v>348</v>
      </c>
      <c r="B28" s="464" t="s">
        <v>338</v>
      </c>
      <c r="C28" s="464" t="s">
        <v>112</v>
      </c>
      <c r="D28" s="464"/>
      <c r="E28" s="466">
        <v>100</v>
      </c>
      <c r="F28" s="464" t="s">
        <v>110</v>
      </c>
      <c r="G28" s="465" t="s">
        <v>98</v>
      </c>
      <c r="H28" s="719" t="e">
        <f>'JCC-NLM AÑO (LINARES)'!#REF!</f>
        <v>#REF!</v>
      </c>
      <c r="I28" s="719" t="e">
        <f>'JCC-NLM AÑO (LINARES)'!#REF!</f>
        <v>#REF!</v>
      </c>
      <c r="J28" s="719" t="e">
        <f>'JCC-NLM AÑO (LINARES)'!#REF!</f>
        <v>#REF!</v>
      </c>
      <c r="K28" s="719" t="e">
        <f>'JCC-NLM AÑO (LINARES)'!#REF!</f>
        <v>#REF!</v>
      </c>
      <c r="L28" s="719" t="e">
        <f>'JCC-NLM AÑO (LINARES)'!#REF!</f>
        <v>#REF!</v>
      </c>
      <c r="M28" s="719" t="e">
        <f>'JCC-NLM AÑO (LINARES)'!#REF!</f>
        <v>#REF!</v>
      </c>
      <c r="N28" s="719" t="e">
        <f>'JCC-NLM AÑO (LINARES)'!#REF!</f>
        <v>#REF!</v>
      </c>
      <c r="O28" s="719" t="e">
        <f>'JCC-NLM AÑO (LINARES)'!#REF!</f>
        <v>#REF!</v>
      </c>
      <c r="P28" s="719" t="e">
        <f>'JCC-NLM AÑO (LINARES)'!#REF!</f>
        <v>#REF!</v>
      </c>
      <c r="Q28" s="719" t="e">
        <f>'JCC-NLM AÑO (LINARES)'!#REF!</f>
        <v>#REF!</v>
      </c>
      <c r="R28" s="719" t="e">
        <f>'JCC-NLM AÑO (LINARES)'!#REF!</f>
        <v>#REF!</v>
      </c>
      <c r="S28" s="728" t="e">
        <f>'JCC-NLM AÑO (LINARES)'!#REF!</f>
        <v>#REF!</v>
      </c>
    </row>
    <row r="29" spans="1:19" ht="24" customHeight="1" x14ac:dyDescent="0.3">
      <c r="A29" s="525" t="s">
        <v>349</v>
      </c>
      <c r="B29" s="362" t="s">
        <v>338</v>
      </c>
      <c r="C29" s="362" t="s">
        <v>112</v>
      </c>
      <c r="D29" s="697" t="s">
        <v>666</v>
      </c>
      <c r="E29" s="461">
        <v>250</v>
      </c>
      <c r="F29" s="362" t="s">
        <v>110</v>
      </c>
      <c r="G29" s="363" t="s">
        <v>98</v>
      </c>
      <c r="H29" s="708">
        <f>'JCC-NLM AÑO (LINARES)'!C$56</f>
        <v>88</v>
      </c>
      <c r="I29" s="708">
        <f>'JCC-NLM AÑO (LINARES)'!D$56</f>
        <v>121</v>
      </c>
      <c r="J29" s="708">
        <f>'JCC-NLM AÑO (LINARES)'!E$56</f>
        <v>114</v>
      </c>
      <c r="K29" s="708">
        <f>'JCC-NLM AÑO (LINARES)'!F$56</f>
        <v>157</v>
      </c>
      <c r="L29" s="708">
        <f>'JCC-NLM AÑO (LINARES)'!G$56</f>
        <v>172</v>
      </c>
      <c r="M29" s="708">
        <f>'JCC-NLM AÑO (LINARES)'!H$56</f>
        <v>189</v>
      </c>
      <c r="N29" s="708">
        <f>'JCC-NLM AÑO (LINARES)'!I$56</f>
        <v>212</v>
      </c>
      <c r="O29" s="708">
        <f>'JCC-NLM AÑO (LINARES)'!J$56</f>
        <v>52</v>
      </c>
      <c r="P29" s="708">
        <f>'JCC-NLM AÑO (LINARES)'!K$56</f>
        <v>216</v>
      </c>
      <c r="Q29" s="708">
        <f>'JCC-NLM AÑO (LINARES)'!L$56</f>
        <v>160.32</v>
      </c>
      <c r="R29" s="708">
        <f>'JCC-NLM AÑO (LINARES)'!M$56</f>
        <v>198.74</v>
      </c>
      <c r="S29" s="718">
        <f>'JCC-NLM AÑO (LINARES)'!N$56</f>
        <v>84</v>
      </c>
    </row>
    <row r="30" spans="1:19" ht="24" customHeight="1" x14ac:dyDescent="0.3">
      <c r="A30" s="525" t="s">
        <v>356</v>
      </c>
      <c r="B30" s="464" t="s">
        <v>338</v>
      </c>
      <c r="C30" s="464" t="s">
        <v>350</v>
      </c>
      <c r="D30" s="699" t="s">
        <v>668</v>
      </c>
      <c r="E30" s="469">
        <v>1</v>
      </c>
      <c r="F30" s="464" t="s">
        <v>110</v>
      </c>
      <c r="G30" s="465" t="s">
        <v>98</v>
      </c>
      <c r="H30" s="729">
        <f>'JCC-NLM AÑO (LINARES)'!C$66</f>
        <v>1</v>
      </c>
      <c r="I30" s="729">
        <f>'JCC-NLM AÑO (LINARES)'!D$66</f>
        <v>1</v>
      </c>
      <c r="J30" s="729">
        <f>'JCC-NLM AÑO (LINARES)'!E$66</f>
        <v>1</v>
      </c>
      <c r="K30" s="729">
        <f>'JCC-NLM AÑO (LINARES)'!F$66</f>
        <v>1</v>
      </c>
      <c r="L30" s="729">
        <f>'JCC-NLM AÑO (LINARES)'!G$66</f>
        <v>1</v>
      </c>
      <c r="M30" s="729">
        <f>'JCC-NLM AÑO (LINARES)'!H$66</f>
        <v>1</v>
      </c>
      <c r="N30" s="729">
        <f>'JCC-NLM AÑO (LINARES)'!I$66</f>
        <v>0</v>
      </c>
      <c r="O30" s="729">
        <f>'JCC-NLM AÑO (LINARES)'!J$66</f>
        <v>1</v>
      </c>
      <c r="P30" s="729">
        <f>'JCC-NLM AÑO (LINARES)'!K$66</f>
        <v>1</v>
      </c>
      <c r="Q30" s="729">
        <f>'JCC-NLM AÑO (LINARES)'!L$66</f>
        <v>1</v>
      </c>
      <c r="R30" s="729">
        <f>'JCC-NLM AÑO (LINARES)'!M$66</f>
        <v>1</v>
      </c>
      <c r="S30" s="730">
        <f>'JCC-NLM AÑO (LINARES)'!N$66</f>
        <v>1</v>
      </c>
    </row>
    <row r="31" spans="1:19" ht="24" customHeight="1" x14ac:dyDescent="0.3">
      <c r="A31" s="525" t="s">
        <v>351</v>
      </c>
      <c r="B31" s="362" t="s">
        <v>339</v>
      </c>
      <c r="C31" s="362" t="s">
        <v>350</v>
      </c>
      <c r="D31" s="697" t="s">
        <v>666</v>
      </c>
      <c r="E31" s="703">
        <v>0</v>
      </c>
      <c r="F31" s="362" t="s">
        <v>110</v>
      </c>
      <c r="G31" s="363" t="s">
        <v>93</v>
      </c>
      <c r="H31" s="708"/>
      <c r="I31" s="708"/>
      <c r="J31" s="708">
        <f>'JCC-NLM AÑO (LINARES)'!E81</f>
        <v>0</v>
      </c>
      <c r="K31" s="708"/>
      <c r="L31" s="708"/>
      <c r="M31" s="708">
        <f>'JCC-NLM AÑO (LINARES)'!H81</f>
        <v>0</v>
      </c>
      <c r="N31" s="708"/>
      <c r="O31" s="708"/>
      <c r="P31" s="708">
        <f>'JCC-NLM AÑO (LINARES)'!K81</f>
        <v>0</v>
      </c>
      <c r="Q31" s="708"/>
      <c r="R31" s="708"/>
      <c r="S31" s="718">
        <f>'JCC-NLM AÑO (LINARES)'!N81</f>
        <v>0</v>
      </c>
    </row>
    <row r="32" spans="1:19" ht="24" customHeight="1" x14ac:dyDescent="0.3">
      <c r="A32" s="1693" t="s">
        <v>352</v>
      </c>
      <c r="B32" s="1695" t="s">
        <v>409</v>
      </c>
      <c r="C32" s="1695" t="s">
        <v>353</v>
      </c>
      <c r="D32" s="1695">
        <v>2</v>
      </c>
      <c r="E32" s="1697" t="s">
        <v>354</v>
      </c>
      <c r="F32" s="1695" t="s">
        <v>101</v>
      </c>
      <c r="G32" s="465" t="s">
        <v>399</v>
      </c>
      <c r="H32" s="719">
        <f>'RSB (LINARES)'!C89</f>
        <v>0</v>
      </c>
      <c r="I32" s="719">
        <f>'RSB (LINARES)'!D89</f>
        <v>1</v>
      </c>
      <c r="J32" s="719">
        <f>'RSB (LINARES)'!E89</f>
        <v>1</v>
      </c>
      <c r="K32" s="719">
        <f>'RSB (LINARES)'!F89</f>
        <v>0</v>
      </c>
      <c r="L32" s="719">
        <f>'RSB (LINARES)'!G89</f>
        <v>1</v>
      </c>
      <c r="M32" s="719">
        <f>'RSB (LINARES)'!H89</f>
        <v>0</v>
      </c>
      <c r="N32" s="719">
        <f>'RSB (LINARES)'!I89</f>
        <v>1</v>
      </c>
      <c r="O32" s="719">
        <f>'RSB (LINARES)'!J89</f>
        <v>1</v>
      </c>
      <c r="P32" s="719">
        <f>'RSB (LINARES)'!K89</f>
        <v>1</v>
      </c>
      <c r="Q32" s="719">
        <f>'RSB (LINARES)'!L89</f>
        <v>1</v>
      </c>
      <c r="R32" s="719">
        <f>'RSB (LINARES)'!M89</f>
        <v>1</v>
      </c>
      <c r="S32" s="719">
        <f>'RSB (LINARES)'!N89</f>
        <v>0</v>
      </c>
    </row>
    <row r="33" spans="1:19" ht="26.25" customHeight="1" x14ac:dyDescent="0.3">
      <c r="A33" s="1694"/>
      <c r="B33" s="1696"/>
      <c r="C33" s="1696"/>
      <c r="D33" s="1696"/>
      <c r="E33" s="1698"/>
      <c r="F33" s="1696"/>
      <c r="G33" s="465" t="s">
        <v>400</v>
      </c>
      <c r="H33" s="719">
        <f>'RSB (LINARES)'!C90</f>
        <v>1</v>
      </c>
      <c r="I33" s="719">
        <f>'RSB (LINARES)'!D90</f>
        <v>1</v>
      </c>
      <c r="J33" s="719">
        <f>'RSB (LINARES)'!E90</f>
        <v>1</v>
      </c>
      <c r="K33" s="719">
        <f>'RSB (LINARES)'!F90</f>
        <v>2</v>
      </c>
      <c r="L33" s="719">
        <f>'RSB (LINARES)'!G90</f>
        <v>1</v>
      </c>
      <c r="M33" s="719">
        <f>'RSB (LINARES)'!H90</f>
        <v>1</v>
      </c>
      <c r="N33" s="719">
        <f>'RSB (LINARES)'!I90</f>
        <v>1</v>
      </c>
      <c r="O33" s="719">
        <f>'RSB (LINARES)'!J90</f>
        <v>2</v>
      </c>
      <c r="P33" s="719">
        <f>'RSB (LINARES)'!K90</f>
        <v>1</v>
      </c>
      <c r="Q33" s="719">
        <f>'RSB (LINARES)'!L90</f>
        <v>1</v>
      </c>
      <c r="R33" s="719">
        <f>'RSB (LINARES)'!M90</f>
        <v>1</v>
      </c>
      <c r="S33" s="719">
        <f>'RSB (LINARES)'!N90</f>
        <v>0</v>
      </c>
    </row>
    <row r="34" spans="1:19" ht="24" customHeight="1" x14ac:dyDescent="0.3">
      <c r="A34" s="365" t="s">
        <v>113</v>
      </c>
      <c r="B34" s="462" t="s">
        <v>338</v>
      </c>
      <c r="C34" s="362" t="s">
        <v>114</v>
      </c>
      <c r="D34" s="697" t="s">
        <v>666</v>
      </c>
      <c r="E34" s="463">
        <v>10000</v>
      </c>
      <c r="F34" s="362" t="s">
        <v>115</v>
      </c>
      <c r="G34" s="363" t="s">
        <v>98</v>
      </c>
      <c r="H34" s="731">
        <f>'JNL-MCG AÑO (LINARES)'!C$7</f>
        <v>6186.04</v>
      </c>
      <c r="I34" s="731">
        <f>'JNL-MCG AÑO (LINARES)'!D$7</f>
        <v>4237.92</v>
      </c>
      <c r="J34" s="731">
        <f>'JNL-MCG AÑO (LINARES)'!E$7</f>
        <v>2688.36</v>
      </c>
      <c r="K34" s="731">
        <f>'JNL-MCG AÑO (LINARES)'!F$7</f>
        <v>2700.48</v>
      </c>
      <c r="L34" s="731">
        <f>'JNL-MCG AÑO (LINARES)'!G$7</f>
        <v>4903.58</v>
      </c>
      <c r="M34" s="731">
        <f>'JNL-MCG AÑO (LINARES)'!H$7</f>
        <v>4750.5</v>
      </c>
      <c r="N34" s="731">
        <f>'JNL-MCG AÑO (LINARES)'!I$7</f>
        <v>8476.02</v>
      </c>
      <c r="O34" s="731">
        <f>'JNL-MCG AÑO (LINARES)'!J$7</f>
        <v>3244</v>
      </c>
      <c r="P34" s="731">
        <f>'JNL-MCG AÑO (LINARES)'!K$7</f>
        <v>9582.57</v>
      </c>
      <c r="Q34" s="731">
        <f>'JNL-MCG AÑO (LINARES)'!L$7</f>
        <v>6083</v>
      </c>
      <c r="R34" s="731">
        <f>'JNL-MCG AÑO (LINARES)'!M$7</f>
        <v>3768</v>
      </c>
      <c r="S34" s="731">
        <f>'JNL-MCG AÑO (LINARES)'!N$7</f>
        <v>3576</v>
      </c>
    </row>
    <row r="35" spans="1:19" ht="24" customHeight="1" x14ac:dyDescent="0.3">
      <c r="A35" s="365" t="s">
        <v>116</v>
      </c>
      <c r="B35" s="468" t="s">
        <v>338</v>
      </c>
      <c r="C35" s="464" t="s">
        <v>114</v>
      </c>
      <c r="D35" s="699" t="s">
        <v>666</v>
      </c>
      <c r="E35" s="466">
        <v>250</v>
      </c>
      <c r="F35" s="464" t="s">
        <v>115</v>
      </c>
      <c r="G35" s="465" t="s">
        <v>98</v>
      </c>
      <c r="H35" s="732">
        <f>'JNL-MCG AÑO (LINARES)'!C$14</f>
        <v>0</v>
      </c>
      <c r="I35" s="732">
        <f>'JNL-MCG AÑO (LINARES)'!D$14</f>
        <v>0</v>
      </c>
      <c r="J35" s="732">
        <f>'JNL-MCG AÑO (LINARES)'!E$14</f>
        <v>0</v>
      </c>
      <c r="K35" s="732">
        <f>'JNL-MCG AÑO (LINARES)'!F$14</f>
        <v>0</v>
      </c>
      <c r="L35" s="732">
        <f>'JNL-MCG AÑO (LINARES)'!G$14</f>
        <v>0</v>
      </c>
      <c r="M35" s="732">
        <f>'JNL-MCG AÑO (LINARES)'!H$14</f>
        <v>0</v>
      </c>
      <c r="N35" s="732">
        <f>'JNL-MCG AÑO (LINARES)'!I$14</f>
        <v>0</v>
      </c>
      <c r="O35" s="732">
        <f>'JNL-MCG AÑO (LINARES)'!J$14</f>
        <v>0</v>
      </c>
      <c r="P35" s="732">
        <f>'JNL-MCG AÑO (LINARES)'!K$14</f>
        <v>0</v>
      </c>
      <c r="Q35" s="732">
        <f>'JNL-MCG AÑO (LINARES)'!L$14</f>
        <v>0</v>
      </c>
      <c r="R35" s="732">
        <f>'JNL-MCG AÑO (LINARES)'!M$14</f>
        <v>0</v>
      </c>
      <c r="S35" s="732">
        <f>'JNL-MCG AÑO (LINARES)'!N$14</f>
        <v>0</v>
      </c>
    </row>
    <row r="36" spans="1:19" ht="24" customHeight="1" x14ac:dyDescent="0.3">
      <c r="A36" s="365" t="s">
        <v>117</v>
      </c>
      <c r="B36" s="462" t="s">
        <v>339</v>
      </c>
      <c r="C36" s="362" t="s">
        <v>114</v>
      </c>
      <c r="D36" s="697" t="s">
        <v>666</v>
      </c>
      <c r="E36" s="698">
        <v>0.02</v>
      </c>
      <c r="F36" s="362" t="s">
        <v>115</v>
      </c>
      <c r="G36" s="363" t="s">
        <v>93</v>
      </c>
      <c r="H36" s="363"/>
      <c r="I36" s="363"/>
      <c r="J36" s="470">
        <f>'JNL-MCG AÑO (LINARES)'!E24</f>
        <v>1.2995969650183944E-2</v>
      </c>
      <c r="K36" s="363"/>
      <c r="L36" s="731"/>
      <c r="M36" s="470">
        <f>'JNL-MCG AÑO (LINARES)'!H24</f>
        <v>1.0956573966037013E-2</v>
      </c>
      <c r="N36" s="363"/>
      <c r="O36" s="363"/>
      <c r="P36" s="470">
        <f>'JNL-MCG AÑO (LINARES)'!K24</f>
        <v>3.354070020919863E-2</v>
      </c>
      <c r="Q36" s="363"/>
      <c r="R36" s="363"/>
      <c r="S36" s="709">
        <f>'JNL-MCG AÑO (LINARES)'!N24</f>
        <v>2.4919715159355045E-2</v>
      </c>
    </row>
    <row r="37" spans="1:19" ht="24" customHeight="1" x14ac:dyDescent="0.3">
      <c r="A37" s="365" t="s">
        <v>364</v>
      </c>
      <c r="B37" s="468" t="s">
        <v>338</v>
      </c>
      <c r="C37" s="464" t="s">
        <v>114</v>
      </c>
      <c r="D37" s="464"/>
      <c r="E37" s="464" t="s">
        <v>118</v>
      </c>
      <c r="F37" s="464" t="s">
        <v>115</v>
      </c>
      <c r="G37" s="465" t="s">
        <v>119</v>
      </c>
      <c r="H37" s="465"/>
      <c r="I37" s="465"/>
      <c r="J37" s="733"/>
      <c r="K37" s="465"/>
      <c r="L37" s="465"/>
      <c r="M37" s="733">
        <f>'JNL-MCG AÑO (LINARES)'!H48</f>
        <v>0</v>
      </c>
      <c r="N37" s="465"/>
      <c r="O37" s="465"/>
      <c r="P37" s="733"/>
      <c r="Q37" s="465"/>
      <c r="R37" s="465"/>
      <c r="S37" s="734">
        <f>'JNL-MCG AÑO (LINARES)'!N48</f>
        <v>0</v>
      </c>
    </row>
    <row r="38" spans="1:19" ht="24" customHeight="1" x14ac:dyDescent="0.3">
      <c r="A38" s="525" t="s">
        <v>362</v>
      </c>
      <c r="B38" s="362" t="s">
        <v>338</v>
      </c>
      <c r="C38" s="362" t="s">
        <v>363</v>
      </c>
      <c r="D38" s="697" t="s">
        <v>666</v>
      </c>
      <c r="E38" s="471">
        <v>0</v>
      </c>
      <c r="F38" s="362" t="s">
        <v>115</v>
      </c>
      <c r="G38" s="363" t="s">
        <v>124</v>
      </c>
      <c r="H38" s="363"/>
      <c r="I38" s="363"/>
      <c r="J38" s="735"/>
      <c r="K38" s="363"/>
      <c r="L38" s="363"/>
      <c r="M38" s="735"/>
      <c r="N38" s="363"/>
      <c r="O38" s="363"/>
      <c r="P38" s="735"/>
      <c r="Q38" s="363"/>
      <c r="R38" s="363"/>
      <c r="S38" s="736">
        <f>'JNL-MCG AÑO (LINARES)'!C97</f>
        <v>1</v>
      </c>
    </row>
    <row r="39" spans="1:19" ht="24" customHeight="1" x14ac:dyDescent="0.3">
      <c r="A39" s="365" t="s">
        <v>361</v>
      </c>
      <c r="B39" s="468" t="s">
        <v>339</v>
      </c>
      <c r="C39" s="464" t="s">
        <v>120</v>
      </c>
      <c r="D39" s="699" t="s">
        <v>666</v>
      </c>
      <c r="E39" s="466">
        <v>0.75</v>
      </c>
      <c r="F39" s="464" t="s">
        <v>115</v>
      </c>
      <c r="G39" s="465" t="s">
        <v>93</v>
      </c>
      <c r="H39" s="465"/>
      <c r="I39" s="465"/>
      <c r="J39" s="733">
        <f>'JNL-MCG AÑO (LINARES)'!E58</f>
        <v>0.203125</v>
      </c>
      <c r="K39" s="465"/>
      <c r="L39" s="465"/>
      <c r="M39" s="733">
        <f>'JNL-MCG AÑO (LINARES)'!H58</f>
        <v>0</v>
      </c>
      <c r="N39" s="465"/>
      <c r="O39" s="465"/>
      <c r="P39" s="733">
        <f>'JNL-MCG AÑO (LINARES)'!K58</f>
        <v>7.8125E-3</v>
      </c>
      <c r="Q39" s="465"/>
      <c r="R39" s="465"/>
      <c r="S39" s="734">
        <f>'JNL-MCG AÑO (LINARES)'!N58</f>
        <v>0</v>
      </c>
    </row>
    <row r="40" spans="1:19" ht="24" customHeight="1" x14ac:dyDescent="0.3">
      <c r="A40" s="365" t="s">
        <v>121</v>
      </c>
      <c r="B40" s="462" t="s">
        <v>339</v>
      </c>
      <c r="C40" s="362" t="s">
        <v>120</v>
      </c>
      <c r="D40" s="697" t="s">
        <v>669</v>
      </c>
      <c r="E40" s="461">
        <v>4</v>
      </c>
      <c r="F40" s="362" t="s">
        <v>115</v>
      </c>
      <c r="G40" s="363" t="s">
        <v>98</v>
      </c>
      <c r="H40" s="735">
        <f>'JNL-MCG AÑO (LINARES)'!C$65</f>
        <v>1</v>
      </c>
      <c r="I40" s="735">
        <f>'JNL-MCG AÑO (LINARES)'!D$65</f>
        <v>4</v>
      </c>
      <c r="J40" s="735">
        <f>'JNL-MCG AÑO (LINARES)'!E$65</f>
        <v>2</v>
      </c>
      <c r="K40" s="735">
        <f>'JNL-MCG AÑO (LINARES)'!F$65</f>
        <v>1</v>
      </c>
      <c r="L40" s="735">
        <f>'JNL-MCG AÑO (LINARES)'!G$65</f>
        <v>4</v>
      </c>
      <c r="M40" s="735">
        <f>'JNL-MCG AÑO (LINARES)'!H$65</f>
        <v>11</v>
      </c>
      <c r="N40" s="735">
        <f>'JNL-MCG AÑO (LINARES)'!I$65</f>
        <v>7</v>
      </c>
      <c r="O40" s="735">
        <f>'JNL-MCG AÑO (LINARES)'!J$65</f>
        <v>0</v>
      </c>
      <c r="P40" s="735">
        <f>'JNL-MCG AÑO (LINARES)'!K$65</f>
        <v>9</v>
      </c>
      <c r="Q40" s="735">
        <f>'JNL-MCG AÑO (LINARES)'!L$65</f>
        <v>5</v>
      </c>
      <c r="R40" s="735">
        <f>'JNL-MCG AÑO (LINARES)'!M$65</f>
        <v>2</v>
      </c>
      <c r="S40" s="736">
        <f>'JNL-MCG AÑO (LINARES)'!N$65</f>
        <v>2</v>
      </c>
    </row>
    <row r="41" spans="1:19" ht="24" customHeight="1" x14ac:dyDescent="0.3">
      <c r="A41" s="525" t="s">
        <v>365</v>
      </c>
      <c r="B41" s="468" t="s">
        <v>338</v>
      </c>
      <c r="C41" s="464" t="s">
        <v>120</v>
      </c>
      <c r="D41" s="699" t="s">
        <v>666</v>
      </c>
      <c r="E41" s="466">
        <v>2</v>
      </c>
      <c r="F41" s="464" t="s">
        <v>115</v>
      </c>
      <c r="G41" s="465" t="s">
        <v>93</v>
      </c>
      <c r="H41" s="733"/>
      <c r="I41" s="733"/>
      <c r="J41" s="733">
        <f>'JNL-MCG AÑO (LINARES)'!E108</f>
        <v>1</v>
      </c>
      <c r="K41" s="733"/>
      <c r="L41" s="733"/>
      <c r="M41" s="733">
        <f>'JNL-MCG AÑO (LINARES)'!H108</f>
        <v>4.18</v>
      </c>
      <c r="N41" s="733"/>
      <c r="O41" s="733"/>
      <c r="P41" s="733">
        <f>'JNL-MCG AÑO (LINARES)'!K108</f>
        <v>5.3</v>
      </c>
      <c r="Q41" s="733"/>
      <c r="R41" s="733"/>
      <c r="S41" s="734">
        <f>'JNL-MCG AÑO (LINARES)'!N108</f>
        <v>1</v>
      </c>
    </row>
    <row r="42" spans="1:19" ht="24" customHeight="1" x14ac:dyDescent="0.3">
      <c r="A42" s="365" t="s">
        <v>343</v>
      </c>
      <c r="B42" s="362" t="s">
        <v>339</v>
      </c>
      <c r="C42" s="362" t="s">
        <v>97</v>
      </c>
      <c r="D42" s="697" t="s">
        <v>666</v>
      </c>
      <c r="E42" s="698">
        <v>0.85</v>
      </c>
      <c r="F42" s="362" t="s">
        <v>92</v>
      </c>
      <c r="G42" s="363" t="s">
        <v>93</v>
      </c>
      <c r="H42" s="708"/>
      <c r="I42" s="708"/>
      <c r="J42" s="470">
        <f>'MATG-JGS-JAAR AÑO (LINARES)'!E68</f>
        <v>0.78833884420331024</v>
      </c>
      <c r="K42" s="708"/>
      <c r="L42" s="708"/>
      <c r="M42" s="470">
        <f>'MATG-JGS-JAAR AÑO (LINARES)'!H68</f>
        <v>0.82115489870882818</v>
      </c>
      <c r="N42" s="708"/>
      <c r="O42" s="708"/>
      <c r="P42" s="470">
        <f>'MATG-JGS-JAAR AÑO (LINARES)'!K68</f>
        <v>0.82414525024723229</v>
      </c>
      <c r="Q42" s="708"/>
      <c r="R42" s="708"/>
      <c r="S42" s="709">
        <f>'MATG-JGS-JAAR AÑO (LINARES)'!N68</f>
        <v>0.87164125334286768</v>
      </c>
    </row>
    <row r="43" spans="1:19" ht="24" customHeight="1" thickBot="1" x14ac:dyDescent="0.35">
      <c r="A43" s="670" t="s">
        <v>122</v>
      </c>
      <c r="B43" s="671" t="s">
        <v>338</v>
      </c>
      <c r="C43" s="671" t="s">
        <v>123</v>
      </c>
      <c r="D43" s="704" t="s">
        <v>665</v>
      </c>
      <c r="E43" s="705">
        <v>6</v>
      </c>
      <c r="F43" s="671" t="s">
        <v>92</v>
      </c>
      <c r="G43" s="672" t="s">
        <v>124</v>
      </c>
      <c r="H43" s="737"/>
      <c r="I43" s="737"/>
      <c r="J43" s="737"/>
      <c r="K43" s="737"/>
      <c r="L43" s="737"/>
      <c r="M43" s="737"/>
      <c r="N43" s="737"/>
      <c r="O43" s="737"/>
      <c r="P43" s="737"/>
      <c r="Q43" s="737"/>
      <c r="R43" s="737"/>
      <c r="S43" s="738">
        <f>'MATG-JGS-JAAR AÑO (LINARES)'!C75</f>
        <v>9.1899999999999996E-2</v>
      </c>
    </row>
    <row r="44" spans="1:19" ht="24" customHeight="1" thickTop="1" thickBot="1" x14ac:dyDescent="0.35">
      <c r="A44" s="673" t="s">
        <v>355</v>
      </c>
      <c r="B44" s="674" t="s">
        <v>339</v>
      </c>
      <c r="C44" s="675" t="s">
        <v>123</v>
      </c>
      <c r="D44" s="697" t="s">
        <v>669</v>
      </c>
      <c r="E44" s="698">
        <v>0.06</v>
      </c>
      <c r="F44" s="675" t="s">
        <v>92</v>
      </c>
      <c r="G44" s="676" t="s">
        <v>124</v>
      </c>
      <c r="H44" s="739"/>
      <c r="I44" s="739"/>
      <c r="J44" s="739"/>
      <c r="K44" s="739"/>
      <c r="L44" s="739"/>
      <c r="M44" s="739"/>
      <c r="N44" s="739"/>
      <c r="O44" s="739"/>
      <c r="P44" s="739"/>
      <c r="Q44" s="739"/>
      <c r="R44" s="739"/>
      <c r="S44" s="740">
        <f>'MATG-JGS-JAAR AÑO (LINARES)'!C85</f>
        <v>0</v>
      </c>
    </row>
    <row r="45" spans="1:19" ht="15.75" thickTop="1" x14ac:dyDescent="0.25"/>
  </sheetData>
  <mergeCells count="7">
    <mergeCell ref="F1:J1"/>
    <mergeCell ref="A32:A33"/>
    <mergeCell ref="B32:B33"/>
    <mergeCell ref="C32:C33"/>
    <mergeCell ref="D32:D33"/>
    <mergeCell ref="E32:E33"/>
    <mergeCell ref="F32:F33"/>
  </mergeCells>
  <conditionalFormatting sqref="H7:S7">
    <cfRule type="cellIs" dxfId="35" priority="36" operator="lessThanOrEqual">
      <formula>$E$7</formula>
    </cfRule>
  </conditionalFormatting>
  <conditionalFormatting sqref="H8:S8">
    <cfRule type="cellIs" dxfId="34" priority="35" operator="greaterThan">
      <formula>$E$8</formula>
    </cfRule>
  </conditionalFormatting>
  <conditionalFormatting sqref="H9:S9">
    <cfRule type="cellIs" dxfId="33" priority="34" operator="greaterThanOrEqual">
      <formula>$E$9</formula>
    </cfRule>
  </conditionalFormatting>
  <conditionalFormatting sqref="H10:S10">
    <cfRule type="cellIs" dxfId="32" priority="33" operator="lessThanOrEqual">
      <formula>$E$10</formula>
    </cfRule>
  </conditionalFormatting>
  <conditionalFormatting sqref="H11:S11">
    <cfRule type="cellIs" dxfId="31" priority="32" operator="lessThanOrEqual">
      <formula>$E$11</formula>
    </cfRule>
  </conditionalFormatting>
  <conditionalFormatting sqref="H12:S12">
    <cfRule type="cellIs" dxfId="30" priority="31" operator="lessThan">
      <formula>$E$12</formula>
    </cfRule>
  </conditionalFormatting>
  <conditionalFormatting sqref="H13:S13">
    <cfRule type="cellIs" dxfId="29" priority="30" operator="greaterThan">
      <formula>$E$13</formula>
    </cfRule>
  </conditionalFormatting>
  <conditionalFormatting sqref="H15:S15">
    <cfRule type="cellIs" dxfId="28" priority="29" operator="greaterThan">
      <formula>$E$15</formula>
    </cfRule>
  </conditionalFormatting>
  <conditionalFormatting sqref="H16:S16">
    <cfRule type="cellIs" dxfId="27" priority="28" operator="greaterThan">
      <formula>$E$16</formula>
    </cfRule>
  </conditionalFormatting>
  <conditionalFormatting sqref="H17:S17">
    <cfRule type="cellIs" dxfId="26" priority="27" operator="greaterThan">
      <formula>$E$17</formula>
    </cfRule>
  </conditionalFormatting>
  <conditionalFormatting sqref="H18:S18">
    <cfRule type="cellIs" dxfId="25" priority="26" operator="greaterThan">
      <formula>$E$18</formula>
    </cfRule>
  </conditionalFormatting>
  <conditionalFormatting sqref="H19:S19">
    <cfRule type="cellIs" dxfId="24" priority="25" operator="greaterThan">
      <formula>$E$19</formula>
    </cfRule>
  </conditionalFormatting>
  <conditionalFormatting sqref="H20:S20">
    <cfRule type="cellIs" dxfId="23" priority="24" operator="lessThan">
      <formula>$E$20</formula>
    </cfRule>
  </conditionalFormatting>
  <conditionalFormatting sqref="H21:S21">
    <cfRule type="cellIs" dxfId="22" priority="23" operator="lessThan">
      <formula>$E$21</formula>
    </cfRule>
  </conditionalFormatting>
  <conditionalFormatting sqref="H22:S22">
    <cfRule type="cellIs" dxfId="21" priority="22" operator="greaterThanOrEqual">
      <formula>$E$22</formula>
    </cfRule>
  </conditionalFormatting>
  <conditionalFormatting sqref="H23:S23">
    <cfRule type="cellIs" dxfId="20" priority="21" operator="lessThan">
      <formula>$E$23</formula>
    </cfRule>
  </conditionalFormatting>
  <conditionalFormatting sqref="H24:S24">
    <cfRule type="cellIs" dxfId="19" priority="20" operator="greaterThan">
      <formula>$E$24</formula>
    </cfRule>
  </conditionalFormatting>
  <conditionalFormatting sqref="H25:S25">
    <cfRule type="cellIs" dxfId="18" priority="19" operator="lessThan">
      <formula>$E$25</formula>
    </cfRule>
  </conditionalFormatting>
  <conditionalFormatting sqref="H26:S26">
    <cfRule type="cellIs" dxfId="17" priority="18" operator="greaterThan">
      <formula>$E$26</formula>
    </cfRule>
  </conditionalFormatting>
  <conditionalFormatting sqref="H27:S27">
    <cfRule type="cellIs" dxfId="16" priority="17" operator="lessThan">
      <formula>$E$27</formula>
    </cfRule>
  </conditionalFormatting>
  <conditionalFormatting sqref="H29:S29">
    <cfRule type="cellIs" dxfId="15" priority="16" operator="greaterThan">
      <formula>$E$29</formula>
    </cfRule>
  </conditionalFormatting>
  <conditionalFormatting sqref="H30:S30">
    <cfRule type="cellIs" dxfId="14" priority="15" operator="lessThan">
      <formula>$E$30</formula>
    </cfRule>
  </conditionalFormatting>
  <conditionalFormatting sqref="H31:S31">
    <cfRule type="cellIs" dxfId="13" priority="14" operator="greaterThan">
      <formula>$E$31</formula>
    </cfRule>
  </conditionalFormatting>
  <conditionalFormatting sqref="H32:S32">
    <cfRule type="cellIs" dxfId="12" priority="13" operator="greaterThan">
      <formula>$D$32</formula>
    </cfRule>
  </conditionalFormatting>
  <conditionalFormatting sqref="H33:S33">
    <cfRule type="cellIs" dxfId="11" priority="12" operator="greaterThan">
      <formula>$D$32</formula>
    </cfRule>
  </conditionalFormatting>
  <conditionalFormatting sqref="H34:S34">
    <cfRule type="cellIs" dxfId="10" priority="11" operator="greaterThan">
      <formula>$E$34</formula>
    </cfRule>
  </conditionalFormatting>
  <conditionalFormatting sqref="H35:S35">
    <cfRule type="cellIs" dxfId="9" priority="10" operator="greaterThan">
      <formula>$E$35</formula>
    </cfRule>
  </conditionalFormatting>
  <conditionalFormatting sqref="H36:S36">
    <cfRule type="cellIs" dxfId="8" priority="9" operator="greaterThan">
      <formula>$E$36</formula>
    </cfRule>
  </conditionalFormatting>
  <conditionalFormatting sqref="H38:S38">
    <cfRule type="cellIs" dxfId="7" priority="7" operator="greaterThan">
      <formula>$E$38</formula>
    </cfRule>
    <cfRule type="cellIs" dxfId="6" priority="8" operator="greaterThanOrEqual">
      <formula>$E$38</formula>
    </cfRule>
  </conditionalFormatting>
  <conditionalFormatting sqref="H39:S39">
    <cfRule type="cellIs" dxfId="5" priority="6" operator="greaterThan">
      <formula>$E$39</formula>
    </cfRule>
  </conditionalFormatting>
  <conditionalFormatting sqref="H40:S40">
    <cfRule type="cellIs" dxfId="4" priority="5" operator="greaterThanOrEqual">
      <formula>$E$40</formula>
    </cfRule>
  </conditionalFormatting>
  <conditionalFormatting sqref="H41:S41">
    <cfRule type="cellIs" dxfId="3" priority="4" operator="greaterThan">
      <formula>$E$41</formula>
    </cfRule>
  </conditionalFormatting>
  <conditionalFormatting sqref="H42:S42">
    <cfRule type="cellIs" dxfId="2" priority="3" operator="greaterThan">
      <formula>$E$42</formula>
    </cfRule>
  </conditionalFormatting>
  <conditionalFormatting sqref="H43:S43">
    <cfRule type="cellIs" dxfId="1" priority="2" operator="lessThanOrEqual">
      <formula>$E$43</formula>
    </cfRule>
  </conditionalFormatting>
  <conditionalFormatting sqref="H44:S44">
    <cfRule type="cellIs" dxfId="0" priority="1" operator="lessThanOrEqual">
      <formula>$E$44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505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45057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3300"/>
  </sheetPr>
  <dimension ref="A1:AQ57"/>
  <sheetViews>
    <sheetView workbookViewId="0">
      <pane xSplit="4" ySplit="2" topLeftCell="AH42" activePane="bottomRight" state="frozen"/>
      <selection pane="topRight" activeCell="E1" sqref="E1"/>
      <selection pane="bottomLeft" activeCell="A3" sqref="A3"/>
      <selection pane="bottomRight" activeCell="AL52" sqref="AL52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23" max="23" width="16.42578125" bestFit="1" customWidth="1"/>
    <col min="29" max="29" width="16.42578125" bestFit="1" customWidth="1"/>
    <col min="41" max="41" width="19.42578125" bestFit="1" customWidth="1"/>
    <col min="42" max="42" width="18.85546875" customWidth="1"/>
  </cols>
  <sheetData>
    <row r="1" spans="1:43" ht="24" customHeight="1" thickTop="1" thickBot="1" x14ac:dyDescent="0.3">
      <c r="B1" s="1721" t="s">
        <v>1088</v>
      </c>
      <c r="C1" s="1721"/>
      <c r="D1" s="1721"/>
      <c r="E1" s="1722" t="s">
        <v>0</v>
      </c>
      <c r="F1" s="1726"/>
      <c r="G1" s="1727"/>
      <c r="H1" s="1722" t="s">
        <v>1</v>
      </c>
      <c r="I1" s="1723"/>
      <c r="J1" s="1724"/>
      <c r="K1" s="1722" t="s">
        <v>2</v>
      </c>
      <c r="L1" s="1723"/>
      <c r="M1" s="1724"/>
      <c r="N1" s="1722" t="s">
        <v>3</v>
      </c>
      <c r="O1" s="1723"/>
      <c r="P1" s="1724"/>
      <c r="Q1" s="1722" t="s">
        <v>4</v>
      </c>
      <c r="R1" s="1723"/>
      <c r="S1" s="1724"/>
      <c r="T1" s="1722" t="s">
        <v>5</v>
      </c>
      <c r="U1" s="1723"/>
      <c r="V1" s="1724"/>
      <c r="W1" s="1722" t="s">
        <v>6</v>
      </c>
      <c r="X1" s="1723"/>
      <c r="Y1" s="1724"/>
      <c r="Z1" s="1722" t="s">
        <v>7</v>
      </c>
      <c r="AA1" s="1723"/>
      <c r="AB1" s="1724"/>
      <c r="AC1" s="1722" t="s">
        <v>8</v>
      </c>
      <c r="AD1" s="1723"/>
      <c r="AE1" s="1724"/>
      <c r="AF1" s="1722" t="s">
        <v>9</v>
      </c>
      <c r="AG1" s="1723"/>
      <c r="AH1" s="1724"/>
      <c r="AI1" s="1722" t="s">
        <v>10</v>
      </c>
      <c r="AJ1" s="1723"/>
      <c r="AK1" s="1724"/>
      <c r="AL1" s="1722" t="s">
        <v>11</v>
      </c>
      <c r="AM1" s="1723"/>
      <c r="AN1" s="1724"/>
      <c r="AO1" s="1722" t="s">
        <v>1069</v>
      </c>
      <c r="AP1" s="1723"/>
      <c r="AQ1" s="1724"/>
    </row>
    <row r="2" spans="1:43" ht="24" customHeight="1" thickTop="1" thickBot="1" x14ac:dyDescent="0.3">
      <c r="B2" s="1725"/>
      <c r="C2" s="1725"/>
      <c r="D2" s="1725"/>
      <c r="E2" s="569" t="s">
        <v>228</v>
      </c>
      <c r="F2" s="570" t="s">
        <v>597</v>
      </c>
      <c r="G2" s="644" t="s">
        <v>635</v>
      </c>
      <c r="H2" s="569" t="s">
        <v>228</v>
      </c>
      <c r="I2" s="570" t="s">
        <v>597</v>
      </c>
      <c r="J2" s="644" t="s">
        <v>635</v>
      </c>
      <c r="K2" s="566" t="s">
        <v>228</v>
      </c>
      <c r="L2" s="567" t="s">
        <v>597</v>
      </c>
      <c r="M2" s="644" t="s">
        <v>635</v>
      </c>
      <c r="N2" s="569" t="s">
        <v>228</v>
      </c>
      <c r="O2" s="570" t="s">
        <v>597</v>
      </c>
      <c r="P2" s="644" t="s">
        <v>635</v>
      </c>
      <c r="Q2" s="569" t="s">
        <v>228</v>
      </c>
      <c r="R2" s="570" t="s">
        <v>597</v>
      </c>
      <c r="S2" s="644" t="s">
        <v>635</v>
      </c>
      <c r="T2" s="569" t="s">
        <v>228</v>
      </c>
      <c r="U2" s="570" t="s">
        <v>597</v>
      </c>
      <c r="V2" s="644" t="s">
        <v>635</v>
      </c>
      <c r="W2" s="566" t="s">
        <v>228</v>
      </c>
      <c r="X2" s="570" t="s">
        <v>597</v>
      </c>
      <c r="Y2" s="644" t="s">
        <v>635</v>
      </c>
      <c r="Z2" s="566" t="s">
        <v>228</v>
      </c>
      <c r="AA2" s="567" t="s">
        <v>597</v>
      </c>
      <c r="AB2" s="644" t="s">
        <v>635</v>
      </c>
      <c r="AC2" s="569" t="s">
        <v>228</v>
      </c>
      <c r="AD2" s="570" t="s">
        <v>597</v>
      </c>
      <c r="AE2" s="644" t="s">
        <v>635</v>
      </c>
      <c r="AF2" s="569" t="s">
        <v>228</v>
      </c>
      <c r="AG2" s="570" t="s">
        <v>597</v>
      </c>
      <c r="AH2" s="644" t="s">
        <v>635</v>
      </c>
      <c r="AI2" s="569" t="s">
        <v>228</v>
      </c>
      <c r="AJ2" s="570" t="s">
        <v>597</v>
      </c>
      <c r="AK2" s="644" t="s">
        <v>635</v>
      </c>
      <c r="AL2" s="569" t="s">
        <v>228</v>
      </c>
      <c r="AM2" s="570" t="s">
        <v>597</v>
      </c>
      <c r="AN2" s="644" t="s">
        <v>635</v>
      </c>
      <c r="AO2" s="566" t="s">
        <v>228</v>
      </c>
      <c r="AP2" s="567" t="s">
        <v>597</v>
      </c>
      <c r="AQ2" s="644" t="s">
        <v>635</v>
      </c>
    </row>
    <row r="3" spans="1:43" ht="24" customHeight="1" thickTop="1" thickBot="1" x14ac:dyDescent="0.4">
      <c r="B3" s="1719" t="s">
        <v>603</v>
      </c>
      <c r="C3" s="1719"/>
      <c r="D3" s="1720"/>
      <c r="E3" s="646">
        <f>E4+E5-E6</f>
        <v>238460.23</v>
      </c>
      <c r="F3" s="647">
        <f>F4+F5-F6</f>
        <v>0</v>
      </c>
      <c r="G3" s="595" t="e">
        <f>(E3/F3)-1</f>
        <v>#DIV/0!</v>
      </c>
      <c r="H3" s="590">
        <f t="shared" ref="H3:AG3" si="0">H4+H5-H6</f>
        <v>215170.18</v>
      </c>
      <c r="I3" s="591">
        <f t="shared" si="0"/>
        <v>0</v>
      </c>
      <c r="J3" s="592" t="e">
        <f>(H3/I3)-1</f>
        <v>#DIV/0!</v>
      </c>
      <c r="K3" s="602">
        <f t="shared" si="0"/>
        <v>249786.16</v>
      </c>
      <c r="L3" s="603">
        <f t="shared" si="0"/>
        <v>0</v>
      </c>
      <c r="M3" s="595" t="e">
        <f>(K3/L3)-1</f>
        <v>#DIV/0!</v>
      </c>
      <c r="N3" s="590">
        <f t="shared" si="0"/>
        <v>213930.04</v>
      </c>
      <c r="O3" s="591">
        <f t="shared" si="0"/>
        <v>0</v>
      </c>
      <c r="P3" s="592" t="e">
        <f>(N3/O3)-1</f>
        <v>#DIV/0!</v>
      </c>
      <c r="Q3" s="602">
        <f t="shared" si="0"/>
        <v>249029.69</v>
      </c>
      <c r="R3" s="603">
        <f t="shared" si="0"/>
        <v>0</v>
      </c>
      <c r="S3" s="595" t="e">
        <f>(Q3/R3)-1</f>
        <v>#DIV/0!</v>
      </c>
      <c r="T3" s="590">
        <f t="shared" si="0"/>
        <v>300128.49</v>
      </c>
      <c r="U3" s="591">
        <f t="shared" ref="U3" si="1">U4+U5-U6</f>
        <v>0</v>
      </c>
      <c r="V3" s="592" t="e">
        <f>(T3/U3)-1</f>
        <v>#DIV/0!</v>
      </c>
      <c r="W3" s="602">
        <f t="shared" si="0"/>
        <v>329301.73</v>
      </c>
      <c r="X3" s="603">
        <f>X4+X5-X6</f>
        <v>0</v>
      </c>
      <c r="Y3" s="595" t="e">
        <f>(W3/X3)-1</f>
        <v>#DIV/0!</v>
      </c>
      <c r="Z3" s="590">
        <f t="shared" si="0"/>
        <v>60396.19</v>
      </c>
      <c r="AA3" s="591">
        <f t="shared" si="0"/>
        <v>0</v>
      </c>
      <c r="AB3" s="592" t="e">
        <f>(Z3/AA3)-1</f>
        <v>#DIV/0!</v>
      </c>
      <c r="AC3" s="602">
        <f t="shared" ref="AC3" si="2">AC4+AC5-AC6</f>
        <v>285699.76</v>
      </c>
      <c r="AD3" s="603">
        <f t="shared" ref="AD3" si="3">AD4+AD5-AD6</f>
        <v>0</v>
      </c>
      <c r="AE3" s="595" t="e">
        <f>(AC3/AD3)-1</f>
        <v>#DIV/0!</v>
      </c>
      <c r="AF3" s="590">
        <f t="shared" si="0"/>
        <v>273689.55</v>
      </c>
      <c r="AG3" s="591">
        <f t="shared" si="0"/>
        <v>0</v>
      </c>
      <c r="AH3" s="592" t="e">
        <f>(AF3/AG3)-1</f>
        <v>#DIV/0!</v>
      </c>
      <c r="AI3" s="623">
        <f t="shared" ref="AI3" si="4">AI4+AI5-AI6</f>
        <v>249051.41</v>
      </c>
      <c r="AJ3" s="624">
        <f t="shared" ref="AJ3" si="5">AJ4+AJ5-AJ6</f>
        <v>0</v>
      </c>
      <c r="AK3" s="625" t="e">
        <f>(AI3/AJ3)-1</f>
        <v>#DIV/0!</v>
      </c>
      <c r="AL3" s="590">
        <f t="shared" ref="AL3" si="6">AL4+AL5-AL6</f>
        <v>164591.45000000001</v>
      </c>
      <c r="AM3" s="591">
        <f t="shared" ref="AM3" si="7">AM4+AM5-AM6</f>
        <v>0</v>
      </c>
      <c r="AN3" s="592" t="e">
        <f>(AL3/AM3)-1</f>
        <v>#DIV/0!</v>
      </c>
      <c r="AO3" s="634">
        <f>AO4+AO5-AO6</f>
        <v>2829234.88</v>
      </c>
      <c r="AP3" s="635">
        <f>AP4+AP5-AP6</f>
        <v>0</v>
      </c>
      <c r="AQ3" s="636" t="e">
        <f>(AO3/AP3)-1</f>
        <v>#DIV/0!</v>
      </c>
    </row>
    <row r="4" spans="1:43" ht="24" customHeight="1" thickTop="1" thickBot="1" x14ac:dyDescent="0.3">
      <c r="A4" s="565">
        <v>701</v>
      </c>
      <c r="B4" s="1699" t="s">
        <v>594</v>
      </c>
      <c r="C4" s="1700"/>
      <c r="D4" s="1701"/>
      <c r="E4" s="604">
        <v>233228.64</v>
      </c>
      <c r="F4" s="606">
        <f>DATOS!C4</f>
        <v>0</v>
      </c>
      <c r="G4" s="596" t="e">
        <f t="shared" ref="G4:G5" si="8">(E4/F4)-1</f>
        <v>#DIV/0!</v>
      </c>
      <c r="H4" s="572">
        <v>215170.18</v>
      </c>
      <c r="I4" s="575">
        <f>DATOS!E4</f>
        <v>0</v>
      </c>
      <c r="J4" s="574" t="e">
        <f t="shared" ref="J4:J5" si="9">(H4/I4)-1</f>
        <v>#DIV/0!</v>
      </c>
      <c r="K4" s="604">
        <v>249786.16</v>
      </c>
      <c r="L4" s="604">
        <f>DATOS!G4</f>
        <v>0</v>
      </c>
      <c r="M4" s="596" t="e">
        <f t="shared" ref="M4:M5" si="10">(K4/L4)-1</f>
        <v>#DIV/0!</v>
      </c>
      <c r="N4" s="572">
        <v>213930.04</v>
      </c>
      <c r="O4" s="575">
        <f>DATOS!I4</f>
        <v>0</v>
      </c>
      <c r="P4" s="574" t="e">
        <f t="shared" ref="P4:P5" si="11">(N4/O4)-1</f>
        <v>#DIV/0!</v>
      </c>
      <c r="Q4" s="604">
        <v>243822.81</v>
      </c>
      <c r="R4" s="604">
        <f>DATOS!K4</f>
        <v>0</v>
      </c>
      <c r="S4" s="596" t="e">
        <f t="shared" ref="S4:S5" si="12">(Q4/R4)-1</f>
        <v>#DIV/0!</v>
      </c>
      <c r="T4" s="572">
        <v>299363.49</v>
      </c>
      <c r="U4" s="575">
        <f>DATOS!M4</f>
        <v>0</v>
      </c>
      <c r="V4" s="574" t="e">
        <f t="shared" ref="V4:V5" si="13">(T4/U4)-1</f>
        <v>#DIV/0!</v>
      </c>
      <c r="W4" s="604">
        <v>328256.28999999998</v>
      </c>
      <c r="X4" s="604">
        <f>DATOS!O4</f>
        <v>0</v>
      </c>
      <c r="Y4" s="596" t="e">
        <f t="shared" ref="Y4:Y5" si="14">(W4/X4)-1</f>
        <v>#DIV/0!</v>
      </c>
      <c r="Z4" s="572">
        <v>60396.19</v>
      </c>
      <c r="AA4" s="575">
        <f>DATOS!Q4</f>
        <v>0</v>
      </c>
      <c r="AB4" s="574" t="e">
        <f t="shared" ref="AB4:AB5" si="15">(Z4/AA4)-1</f>
        <v>#DIV/0!</v>
      </c>
      <c r="AC4" s="604">
        <v>280315.74</v>
      </c>
      <c r="AD4" s="604">
        <f>DATOS!U4</f>
        <v>0</v>
      </c>
      <c r="AE4" s="596" t="e">
        <f t="shared" ref="AE4:AE5" si="16">(AC4/AD4)-1</f>
        <v>#DIV/0!</v>
      </c>
      <c r="AF4" s="572">
        <v>273689.55</v>
      </c>
      <c r="AG4" s="575">
        <f>DATOS!U4</f>
        <v>0</v>
      </c>
      <c r="AH4" s="574" t="e">
        <f t="shared" ref="AH4:AH5" si="17">(AF4/AG4)-1</f>
        <v>#DIV/0!</v>
      </c>
      <c r="AI4" s="604">
        <v>243650.42</v>
      </c>
      <c r="AJ4" s="604">
        <f>DATOS!W4</f>
        <v>0</v>
      </c>
      <c r="AK4" s="596" t="e">
        <f t="shared" ref="AK4:AK5" si="18">(AI4/AJ4)-1</f>
        <v>#DIV/0!</v>
      </c>
      <c r="AL4" s="572">
        <v>164591.45000000001</v>
      </c>
      <c r="AM4" s="575">
        <f>DATOS!Y4</f>
        <v>0</v>
      </c>
      <c r="AN4" s="574" t="e">
        <f t="shared" ref="AN4:AN5" si="19">(AL4/AM4)-1</f>
        <v>#DIV/0!</v>
      </c>
      <c r="AO4" s="628">
        <f>$E4+$H4+$K4+$N4+$Q4+$T4+$W4+$Z4+$AC4+$AF4+$AI4+$AL4</f>
        <v>2806200.96</v>
      </c>
      <c r="AP4" s="629">
        <f>F4+I4+L4+O4+R4+U4+X4+AA4+AD4+AG4+AJ4+AM4</f>
        <v>0</v>
      </c>
      <c r="AQ4" s="637" t="e">
        <f t="shared" ref="AQ4:AQ5" si="20">(AO4/AP4)-1</f>
        <v>#DIV/0!</v>
      </c>
    </row>
    <row r="5" spans="1:43" ht="24" customHeight="1" thickTop="1" thickBot="1" x14ac:dyDescent="0.3">
      <c r="A5" s="565">
        <v>704</v>
      </c>
      <c r="B5" s="1699" t="s">
        <v>595</v>
      </c>
      <c r="C5" s="1700"/>
      <c r="D5" s="1701"/>
      <c r="E5" s="604">
        <v>5231.59</v>
      </c>
      <c r="F5" s="606"/>
      <c r="G5" s="596" t="e">
        <f t="shared" si="8"/>
        <v>#DIV/0!</v>
      </c>
      <c r="H5" s="572">
        <v>0</v>
      </c>
      <c r="I5" s="575"/>
      <c r="J5" s="574" t="e">
        <f t="shared" si="9"/>
        <v>#DIV/0!</v>
      </c>
      <c r="K5" s="604">
        <v>0</v>
      </c>
      <c r="L5" s="606"/>
      <c r="M5" s="596" t="e">
        <f t="shared" si="10"/>
        <v>#DIV/0!</v>
      </c>
      <c r="N5" s="572">
        <v>0</v>
      </c>
      <c r="O5" s="575"/>
      <c r="P5" s="574" t="e">
        <f t="shared" si="11"/>
        <v>#DIV/0!</v>
      </c>
      <c r="Q5" s="604">
        <v>5206.88</v>
      </c>
      <c r="R5" s="606"/>
      <c r="S5" s="596" t="e">
        <f t="shared" si="12"/>
        <v>#DIV/0!</v>
      </c>
      <c r="T5" s="572">
        <v>765</v>
      </c>
      <c r="U5" s="575"/>
      <c r="V5" s="574" t="e">
        <f t="shared" si="13"/>
        <v>#DIV/0!</v>
      </c>
      <c r="W5" s="604">
        <v>1045.44</v>
      </c>
      <c r="X5" s="606"/>
      <c r="Y5" s="596" t="e">
        <f t="shared" si="14"/>
        <v>#DIV/0!</v>
      </c>
      <c r="Z5" s="572">
        <v>0</v>
      </c>
      <c r="AA5" s="575"/>
      <c r="AB5" s="574" t="e">
        <f t="shared" si="15"/>
        <v>#DIV/0!</v>
      </c>
      <c r="AC5" s="604">
        <v>5384.02</v>
      </c>
      <c r="AD5" s="606"/>
      <c r="AE5" s="596" t="e">
        <f t="shared" si="16"/>
        <v>#DIV/0!</v>
      </c>
      <c r="AF5" s="572">
        <v>0</v>
      </c>
      <c r="AG5" s="575"/>
      <c r="AH5" s="574" t="e">
        <f t="shared" si="17"/>
        <v>#DIV/0!</v>
      </c>
      <c r="AI5" s="604">
        <v>5400.99</v>
      </c>
      <c r="AJ5" s="606"/>
      <c r="AK5" s="596" t="e">
        <f t="shared" si="18"/>
        <v>#DIV/0!</v>
      </c>
      <c r="AL5" s="572">
        <v>0</v>
      </c>
      <c r="AM5" s="575"/>
      <c r="AN5" s="574" t="e">
        <f t="shared" si="19"/>
        <v>#DIV/0!</v>
      </c>
      <c r="AO5" s="628">
        <f>$E5+$H5+$K5+$N5+$Q5+$T5+$W5+$Z5+$AC5+$AF5+$AI5+$AL5</f>
        <v>23033.919999999998</v>
      </c>
      <c r="AP5" s="629">
        <f t="shared" ref="AP5:AP6" si="21">F5+I5+L5+O5+R5+U5+X5+AA5+AD5+AG5+AJ5+AM5</f>
        <v>0</v>
      </c>
      <c r="AQ5" s="637" t="e">
        <f t="shared" si="20"/>
        <v>#DIV/0!</v>
      </c>
    </row>
    <row r="6" spans="1:43" ht="24" customHeight="1" thickTop="1" thickBot="1" x14ac:dyDescent="0.3">
      <c r="A6" s="565">
        <v>708</v>
      </c>
      <c r="B6" s="1699" t="s">
        <v>596</v>
      </c>
      <c r="C6" s="1700"/>
      <c r="D6" s="1701"/>
      <c r="E6" s="604">
        <f>DATOS!C158</f>
        <v>0</v>
      </c>
      <c r="F6" s="605"/>
      <c r="G6" s="597" t="e">
        <f>1-(E6/F6)</f>
        <v>#DIV/0!</v>
      </c>
      <c r="H6" s="575">
        <f>DATOS!E158</f>
        <v>0</v>
      </c>
      <c r="I6" s="573"/>
      <c r="J6" s="576" t="e">
        <f>1-(H6/I6)</f>
        <v>#DIV/0!</v>
      </c>
      <c r="K6" s="604">
        <f>DATOS!G158</f>
        <v>0</v>
      </c>
      <c r="L6" s="605"/>
      <c r="M6" s="597" t="e">
        <f>1-(K6/L6)</f>
        <v>#DIV/0!</v>
      </c>
      <c r="N6" s="575">
        <f>DATOS!I158</f>
        <v>0</v>
      </c>
      <c r="O6" s="573"/>
      <c r="P6" s="576" t="e">
        <f>1-(N6/O6)</f>
        <v>#DIV/0!</v>
      </c>
      <c r="Q6" s="604">
        <f>DATOS!K158</f>
        <v>0</v>
      </c>
      <c r="R6" s="605"/>
      <c r="S6" s="597" t="e">
        <f>1-(Q6/R6)</f>
        <v>#DIV/0!</v>
      </c>
      <c r="T6" s="575">
        <f>DATOS!M158</f>
        <v>0</v>
      </c>
      <c r="U6" s="573"/>
      <c r="V6" s="576" t="e">
        <f>1-(T6/U6)</f>
        <v>#DIV/0!</v>
      </c>
      <c r="W6" s="604">
        <f>DATOS!O158</f>
        <v>0</v>
      </c>
      <c r="X6" s="605"/>
      <c r="Y6" s="597" t="e">
        <f>1-(W6/X6)</f>
        <v>#DIV/0!</v>
      </c>
      <c r="Z6" s="575">
        <f>DATOS!Q158</f>
        <v>0</v>
      </c>
      <c r="AA6" s="573"/>
      <c r="AB6" s="576" t="e">
        <f>1-(Z6/AA6)</f>
        <v>#DIV/0!</v>
      </c>
      <c r="AC6" s="604">
        <f>DATOS!S158</f>
        <v>0</v>
      </c>
      <c r="AD6" s="605"/>
      <c r="AE6" s="597" t="e">
        <f>1-(AC6/AD6)</f>
        <v>#DIV/0!</v>
      </c>
      <c r="AF6" s="575">
        <f>DATOS!U158</f>
        <v>0</v>
      </c>
      <c r="AG6" s="573"/>
      <c r="AH6" s="576" t="e">
        <f>1-(AF6/AG6)</f>
        <v>#DIV/0!</v>
      </c>
      <c r="AI6" s="604">
        <f>DATOS!W158</f>
        <v>0</v>
      </c>
      <c r="AJ6" s="605"/>
      <c r="AK6" s="597" t="e">
        <f>1-(AI6/AJ6)</f>
        <v>#DIV/0!</v>
      </c>
      <c r="AL6" s="575">
        <f>DATOS!Y158</f>
        <v>0</v>
      </c>
      <c r="AM6" s="573"/>
      <c r="AN6" s="576" t="e">
        <f>1-(AL6/AM6)</f>
        <v>#DIV/0!</v>
      </c>
      <c r="AO6" s="628">
        <f>$E6+$H6+$K6+$N6+$Q6+$T6+$W6+$Z6+$AC6+$AF6+$AI6+$AL6</f>
        <v>0</v>
      </c>
      <c r="AP6" s="629">
        <f t="shared" si="21"/>
        <v>0</v>
      </c>
      <c r="AQ6" s="638" t="e">
        <f>1-(AO6/AP6)</f>
        <v>#DIV/0!</v>
      </c>
    </row>
    <row r="7" spans="1:43" ht="24" customHeight="1" thickTop="1" thickBot="1" x14ac:dyDescent="0.4">
      <c r="B7" s="1715" t="s">
        <v>598</v>
      </c>
      <c r="C7" s="1715"/>
      <c r="E7" s="607">
        <f>SUM(E8:E10)</f>
        <v>58882.35</v>
      </c>
      <c r="F7" s="607">
        <f>SUM(F8:F10)</f>
        <v>0</v>
      </c>
      <c r="G7" s="598" t="e">
        <f>1-(E7/F7)</f>
        <v>#DIV/0!</v>
      </c>
      <c r="H7" s="593">
        <f t="shared" ref="H7:AG7" si="22">SUM(H8:H10)</f>
        <v>67618.38</v>
      </c>
      <c r="I7" s="593">
        <f t="shared" si="22"/>
        <v>0</v>
      </c>
      <c r="J7" s="594" t="e">
        <f>1-(H7/I7)</f>
        <v>#DIV/0!</v>
      </c>
      <c r="K7" s="607">
        <f t="shared" si="22"/>
        <v>51076.350000000006</v>
      </c>
      <c r="L7" s="607">
        <f t="shared" si="22"/>
        <v>0</v>
      </c>
      <c r="M7" s="598" t="e">
        <f>1-(K7/L7)</f>
        <v>#DIV/0!</v>
      </c>
      <c r="N7" s="593">
        <f t="shared" si="22"/>
        <v>68281.12000000001</v>
      </c>
      <c r="O7" s="593">
        <f t="shared" si="22"/>
        <v>0</v>
      </c>
      <c r="P7" s="594" t="e">
        <f>1-(N7/O7)</f>
        <v>#DIV/0!</v>
      </c>
      <c r="Q7" s="607">
        <f t="shared" si="22"/>
        <v>76699.460000000006</v>
      </c>
      <c r="R7" s="607">
        <f t="shared" si="22"/>
        <v>0</v>
      </c>
      <c r="S7" s="598" t="e">
        <f>1-(Q7/R7)</f>
        <v>#DIV/0!</v>
      </c>
      <c r="T7" s="593">
        <f t="shared" si="22"/>
        <v>83908.04</v>
      </c>
      <c r="U7" s="593">
        <f t="shared" ref="U7" si="23">SUM(U8:U10)</f>
        <v>0</v>
      </c>
      <c r="V7" s="594" t="e">
        <f>1-(T7/U7)</f>
        <v>#DIV/0!</v>
      </c>
      <c r="W7" s="607">
        <f t="shared" si="22"/>
        <v>122043.84999999999</v>
      </c>
      <c r="X7" s="607">
        <f>SUM(X8:X10)</f>
        <v>0</v>
      </c>
      <c r="Y7" s="598" t="e">
        <f>1-(W7/X7)</f>
        <v>#DIV/0!</v>
      </c>
      <c r="Z7" s="593">
        <f t="shared" si="22"/>
        <v>39786.43</v>
      </c>
      <c r="AA7" s="593">
        <f t="shared" si="22"/>
        <v>0</v>
      </c>
      <c r="AB7" s="594" t="e">
        <f>1-(Z7/AA7)</f>
        <v>#DIV/0!</v>
      </c>
      <c r="AC7" s="607">
        <f t="shared" ref="AC7" si="24">SUM(AC8:AC10)</f>
        <v>86388.920000000013</v>
      </c>
      <c r="AD7" s="607">
        <f t="shared" ref="AD7" si="25">SUM(AD8:AD10)</f>
        <v>0</v>
      </c>
      <c r="AE7" s="598" t="e">
        <f>1-(AC7/AD7)</f>
        <v>#DIV/0!</v>
      </c>
      <c r="AF7" s="593">
        <f t="shared" si="22"/>
        <v>74527.8</v>
      </c>
      <c r="AG7" s="593">
        <f t="shared" si="22"/>
        <v>0</v>
      </c>
      <c r="AH7" s="594" t="e">
        <f>1-(AF7/AG7)</f>
        <v>#DIV/0!</v>
      </c>
      <c r="AI7" s="626">
        <f t="shared" ref="AI7" si="26">SUM(AI8:AI10)</f>
        <v>70432.37</v>
      </c>
      <c r="AJ7" s="626">
        <f t="shared" ref="AJ7" si="27">SUM(AJ8:AJ10)</f>
        <v>0</v>
      </c>
      <c r="AK7" s="627" t="e">
        <f>1-(AI7/AJ7)</f>
        <v>#DIV/0!</v>
      </c>
      <c r="AL7" s="593">
        <f>SUM(AL8:AL11)</f>
        <v>77646.31</v>
      </c>
      <c r="AM7" s="593">
        <f t="shared" ref="AM7" si="28">SUM(AM8:AM10)</f>
        <v>0</v>
      </c>
      <c r="AN7" s="594" t="e">
        <f>1-(AL7/AM7)</f>
        <v>#DIV/0!</v>
      </c>
      <c r="AO7" s="633">
        <f>SUM(AO8:AO11)</f>
        <v>877291.38</v>
      </c>
      <c r="AP7" s="633">
        <f>SUM(AP8:AP10)</f>
        <v>0</v>
      </c>
      <c r="AQ7" s="639" t="e">
        <f>1-(AO7/AP7)</f>
        <v>#DIV/0!</v>
      </c>
    </row>
    <row r="8" spans="1:43" ht="24" customHeight="1" thickTop="1" thickBot="1" x14ac:dyDescent="0.3">
      <c r="A8" s="565">
        <v>601</v>
      </c>
      <c r="B8" s="1699" t="s">
        <v>599</v>
      </c>
      <c r="C8" s="1700"/>
      <c r="D8" s="1701"/>
      <c r="E8" s="608">
        <f>DATOS!C12</f>
        <v>50315.11</v>
      </c>
      <c r="F8" s="609"/>
      <c r="G8" s="599" t="e">
        <f>1-(E8/F8)</f>
        <v>#DIV/0!</v>
      </c>
      <c r="H8" s="578">
        <f>DATOS!E12</f>
        <v>45400.91</v>
      </c>
      <c r="I8" s="579"/>
      <c r="J8" s="580" t="e">
        <f>1-(H8/I8)</f>
        <v>#DIV/0!</v>
      </c>
      <c r="K8" s="608">
        <f>DATOS!G12</f>
        <v>46699.73</v>
      </c>
      <c r="L8" s="609"/>
      <c r="M8" s="599" t="e">
        <f>1-(K8/L8)</f>
        <v>#DIV/0!</v>
      </c>
      <c r="N8" s="578">
        <f>DATOS!I12</f>
        <v>45909.24</v>
      </c>
      <c r="O8" s="579"/>
      <c r="P8" s="580" t="e">
        <f>1-(N8/O8)</f>
        <v>#DIV/0!</v>
      </c>
      <c r="Q8" s="608">
        <f>DATOS!K12</f>
        <v>53397.91</v>
      </c>
      <c r="R8" s="609"/>
      <c r="S8" s="599" t="e">
        <f>1-(Q8/R8)</f>
        <v>#DIV/0!</v>
      </c>
      <c r="T8" s="578">
        <f>DATOS!M12</f>
        <v>59690.32</v>
      </c>
      <c r="U8" s="579"/>
      <c r="V8" s="580" t="e">
        <f>1-(T8/U8)</f>
        <v>#DIV/0!</v>
      </c>
      <c r="W8" s="762">
        <f>DATOS!O12</f>
        <v>81644.399999999994</v>
      </c>
      <c r="X8" s="609"/>
      <c r="Y8" s="599" t="e">
        <f>1-(W8/X8)</f>
        <v>#DIV/0!</v>
      </c>
      <c r="Z8" s="578">
        <f>DATOS!Q12</f>
        <v>26198.1</v>
      </c>
      <c r="AA8" s="579"/>
      <c r="AB8" s="580" t="e">
        <f>1-(Z8/AA8)</f>
        <v>#DIV/0!</v>
      </c>
      <c r="AC8" s="762">
        <f>DATOS!S12</f>
        <v>55140.66</v>
      </c>
      <c r="AD8" s="609"/>
      <c r="AE8" s="599" t="e">
        <f>1-(AC8/AD8)</f>
        <v>#DIV/0!</v>
      </c>
      <c r="AF8" s="578">
        <f>DATOS!U12</f>
        <v>50351.5</v>
      </c>
      <c r="AG8" s="579"/>
      <c r="AH8" s="580" t="e">
        <f>1-(AF8/AG8)</f>
        <v>#DIV/0!</v>
      </c>
      <c r="AI8" s="762">
        <f>DATOS!W12</f>
        <v>46507.53</v>
      </c>
      <c r="AJ8" s="609"/>
      <c r="AK8" s="599" t="e">
        <f>1-(AI8/AJ8)</f>
        <v>#DIV/0!</v>
      </c>
      <c r="AL8" s="578">
        <f>DATOS!Y12</f>
        <v>69678</v>
      </c>
      <c r="AM8" s="579"/>
      <c r="AN8" s="580" t="e">
        <f>1-(AL8/AM8)</f>
        <v>#DIV/0!</v>
      </c>
      <c r="AO8" s="628">
        <f>$E8+$H8+$K8+$N8+$Q8+$T8+$W8+$Z8+$AC8+$AF8+$AI8+$AL8</f>
        <v>630933.41</v>
      </c>
      <c r="AP8" s="629">
        <f>F8+I8+L8+O8+R8+U8+X8+AA8+AD8+AG8+AJ8+AM8</f>
        <v>0</v>
      </c>
      <c r="AQ8" s="640" t="e">
        <f>1-(AO8/AP8)</f>
        <v>#DIV/0!</v>
      </c>
    </row>
    <row r="9" spans="1:43" ht="24" customHeight="1" thickTop="1" thickBot="1" x14ac:dyDescent="0.3">
      <c r="A9" s="565">
        <v>602</v>
      </c>
      <c r="B9" s="1699" t="s">
        <v>600</v>
      </c>
      <c r="C9" s="1700"/>
      <c r="D9" s="1701"/>
      <c r="E9" s="604">
        <f>DATOS!C16</f>
        <v>8281.24</v>
      </c>
      <c r="F9" s="606"/>
      <c r="G9" s="599" t="e">
        <f t="shared" ref="G9:G10" si="29">1-(E9/F9)</f>
        <v>#DIV/0!</v>
      </c>
      <c r="H9" s="572">
        <f>DATOS!E16</f>
        <v>22217.47</v>
      </c>
      <c r="I9" s="575"/>
      <c r="J9" s="580" t="e">
        <f t="shared" ref="J9:J10" si="30">1-(H9/I9)</f>
        <v>#DIV/0!</v>
      </c>
      <c r="K9" s="604">
        <f>DATOS!G16</f>
        <v>3278.62</v>
      </c>
      <c r="L9" s="606"/>
      <c r="M9" s="599" t="e">
        <f t="shared" ref="M9:M10" si="31">1-(K9/L9)</f>
        <v>#DIV/0!</v>
      </c>
      <c r="N9" s="572">
        <f>DATOS!I16</f>
        <v>21275.08</v>
      </c>
      <c r="O9" s="575"/>
      <c r="P9" s="580" t="e">
        <f t="shared" ref="P9:P10" si="32">1-(N9/O9)</f>
        <v>#DIV/0!</v>
      </c>
      <c r="Q9" s="604">
        <f>DATOS!K16</f>
        <v>20017.75</v>
      </c>
      <c r="R9" s="606"/>
      <c r="S9" s="599" t="e">
        <f t="shared" ref="S9:S10" si="33">1-(Q9/R9)</f>
        <v>#DIV/0!</v>
      </c>
      <c r="T9" s="572">
        <f>DATOS!M16</f>
        <v>13641.32</v>
      </c>
      <c r="U9" s="575"/>
      <c r="V9" s="580" t="e">
        <f t="shared" ref="V9:V10" si="34">1-(T9/U9)</f>
        <v>#DIV/0!</v>
      </c>
      <c r="W9" s="763">
        <f>DATOS!O16</f>
        <v>20091.28</v>
      </c>
      <c r="X9" s="606"/>
      <c r="Y9" s="599" t="e">
        <f t="shared" ref="Y9:Y10" si="35">1-(W9/X9)</f>
        <v>#DIV/0!</v>
      </c>
      <c r="Z9" s="572">
        <f>DATOS!Q16</f>
        <v>5012.5600000000004</v>
      </c>
      <c r="AA9" s="575"/>
      <c r="AB9" s="580" t="e">
        <f t="shared" ref="AB9:AB10" si="36">1-(Z9/AA9)</f>
        <v>#DIV/0!</v>
      </c>
      <c r="AC9" s="763">
        <f>DATOS!S16</f>
        <v>12499.02</v>
      </c>
      <c r="AD9" s="606"/>
      <c r="AE9" s="599" t="e">
        <f t="shared" ref="AE9:AE10" si="37">1-(AC9/AD9)</f>
        <v>#DIV/0!</v>
      </c>
      <c r="AF9" s="572">
        <f>DATOS!U16</f>
        <v>6053.65</v>
      </c>
      <c r="AG9" s="575"/>
      <c r="AH9" s="580" t="e">
        <f t="shared" ref="AH9:AH10" si="38">1-(AF9/AG9)</f>
        <v>#DIV/0!</v>
      </c>
      <c r="AI9" s="606">
        <f>DATOS!W16</f>
        <v>10161.459999999999</v>
      </c>
      <c r="AJ9" s="606"/>
      <c r="AK9" s="599" t="e">
        <f t="shared" ref="AK9:AK10" si="39">1-(AI9/AJ9)</f>
        <v>#DIV/0!</v>
      </c>
      <c r="AL9" s="572">
        <f>DATOS!Y16</f>
        <v>5364.2</v>
      </c>
      <c r="AM9" s="575"/>
      <c r="AN9" s="580" t="e">
        <f t="shared" ref="AN9:AN10" si="40">1-(AL9/AM9)</f>
        <v>#DIV/0!</v>
      </c>
      <c r="AO9" s="628">
        <f t="shared" ref="AO9:AO41" si="41">$E9+$H9+$K9+$N9+$Q9+$T9+$W9+$Z9+$AC9+$AF9+$AI9+$AL9</f>
        <v>147893.65000000002</v>
      </c>
      <c r="AP9" s="629">
        <f t="shared" ref="AP9:AP10" si="42">F9+I9+L9+O9+R9+U9+X9+AA9+AD9+AG9+AJ9+AM9</f>
        <v>0</v>
      </c>
      <c r="AQ9" s="640" t="e">
        <f t="shared" ref="AQ9:AQ10" si="43">1-(AO9/AP9)</f>
        <v>#DIV/0!</v>
      </c>
    </row>
    <row r="10" spans="1:43" ht="24" customHeight="1" thickTop="1" thickBot="1" x14ac:dyDescent="0.3">
      <c r="A10" s="565">
        <v>607</v>
      </c>
      <c r="B10" s="1699" t="s">
        <v>601</v>
      </c>
      <c r="C10" s="1700"/>
      <c r="D10" s="1701"/>
      <c r="E10" s="604">
        <v>286</v>
      </c>
      <c r="F10" s="606"/>
      <c r="G10" s="599" t="e">
        <f t="shared" si="29"/>
        <v>#DIV/0!</v>
      </c>
      <c r="H10" s="572">
        <v>0</v>
      </c>
      <c r="I10" s="575"/>
      <c r="J10" s="580" t="e">
        <f t="shared" si="30"/>
        <v>#DIV/0!</v>
      </c>
      <c r="K10" s="604">
        <v>1098</v>
      </c>
      <c r="L10" s="606"/>
      <c r="M10" s="599" t="e">
        <f t="shared" si="31"/>
        <v>#DIV/0!</v>
      </c>
      <c r="N10" s="572">
        <v>1096.8</v>
      </c>
      <c r="O10" s="575"/>
      <c r="P10" s="580" t="e">
        <f t="shared" si="32"/>
        <v>#DIV/0!</v>
      </c>
      <c r="Q10" s="604">
        <v>3283.8</v>
      </c>
      <c r="R10" s="606"/>
      <c r="S10" s="599" t="e">
        <f t="shared" si="33"/>
        <v>#DIV/0!</v>
      </c>
      <c r="T10" s="575">
        <v>10576.4</v>
      </c>
      <c r="U10" s="573"/>
      <c r="V10" s="576" t="e">
        <f t="shared" si="34"/>
        <v>#DIV/0!</v>
      </c>
      <c r="W10" s="604">
        <v>20308.169999999998</v>
      </c>
      <c r="X10" s="605"/>
      <c r="Y10" s="597" t="e">
        <f t="shared" si="35"/>
        <v>#DIV/0!</v>
      </c>
      <c r="Z10" s="575">
        <v>8575.77</v>
      </c>
      <c r="AA10" s="573"/>
      <c r="AB10" s="580" t="e">
        <f t="shared" si="36"/>
        <v>#DIV/0!</v>
      </c>
      <c r="AC10" s="604">
        <v>18749.240000000002</v>
      </c>
      <c r="AD10" s="606"/>
      <c r="AE10" s="599" t="e">
        <f t="shared" si="37"/>
        <v>#DIV/0!</v>
      </c>
      <c r="AF10" s="572">
        <v>18122.650000000001</v>
      </c>
      <c r="AG10" s="575"/>
      <c r="AH10" s="580" t="e">
        <f t="shared" si="38"/>
        <v>#DIV/0!</v>
      </c>
      <c r="AI10" s="604">
        <v>13763.38</v>
      </c>
      <c r="AJ10" s="606"/>
      <c r="AK10" s="599" t="e">
        <f t="shared" si="39"/>
        <v>#DIV/0!</v>
      </c>
      <c r="AL10" s="572">
        <v>12314.25</v>
      </c>
      <c r="AM10" s="575"/>
      <c r="AN10" s="580" t="e">
        <f t="shared" si="40"/>
        <v>#DIV/0!</v>
      </c>
      <c r="AO10" s="628">
        <f t="shared" si="41"/>
        <v>108174.46000000002</v>
      </c>
      <c r="AP10" s="629">
        <f t="shared" si="42"/>
        <v>0</v>
      </c>
      <c r="AQ10" s="640" t="e">
        <f t="shared" si="43"/>
        <v>#DIV/0!</v>
      </c>
    </row>
    <row r="11" spans="1:43" ht="24" customHeight="1" thickTop="1" thickBot="1" x14ac:dyDescent="0.3">
      <c r="A11" s="565">
        <v>611</v>
      </c>
      <c r="B11" s="1716" t="s">
        <v>777</v>
      </c>
      <c r="C11" s="1717"/>
      <c r="D11" s="1718"/>
      <c r="E11" s="604">
        <v>0</v>
      </c>
      <c r="F11" s="606"/>
      <c r="G11" s="597"/>
      <c r="H11" s="572">
        <v>0</v>
      </c>
      <c r="I11" s="575"/>
      <c r="J11" s="576"/>
      <c r="K11" s="604">
        <v>0</v>
      </c>
      <c r="L11" s="606"/>
      <c r="M11" s="599"/>
      <c r="N11" s="575">
        <v>0</v>
      </c>
      <c r="O11" s="573"/>
      <c r="P11" s="576"/>
      <c r="Q11" s="604">
        <v>0</v>
      </c>
      <c r="R11" s="605"/>
      <c r="S11" s="597"/>
      <c r="T11" s="575">
        <v>0</v>
      </c>
      <c r="U11" s="573"/>
      <c r="V11" s="576"/>
      <c r="W11" s="604">
        <v>0</v>
      </c>
      <c r="X11" s="605"/>
      <c r="Y11" s="597"/>
      <c r="Z11" s="575">
        <v>0</v>
      </c>
      <c r="AA11" s="573"/>
      <c r="AB11" s="580"/>
      <c r="AC11" s="604">
        <v>0</v>
      </c>
      <c r="AD11" s="605"/>
      <c r="AE11" s="597"/>
      <c r="AF11" s="575">
        <v>0</v>
      </c>
      <c r="AG11" s="573"/>
      <c r="AH11" s="576"/>
      <c r="AI11" s="604">
        <v>0</v>
      </c>
      <c r="AJ11" s="605"/>
      <c r="AK11" s="597"/>
      <c r="AL11" s="575">
        <v>-9710.14</v>
      </c>
      <c r="AM11" s="573"/>
      <c r="AN11" s="576"/>
      <c r="AO11" s="628">
        <f t="shared" si="41"/>
        <v>-9710.14</v>
      </c>
      <c r="AP11" s="1216"/>
      <c r="AQ11" s="640"/>
    </row>
    <row r="12" spans="1:43" ht="24" customHeight="1" thickTop="1" thickBot="1" x14ac:dyDescent="0.4">
      <c r="B12" s="1715" t="s">
        <v>602</v>
      </c>
      <c r="C12" s="1715"/>
      <c r="D12" s="1715"/>
      <c r="E12" s="611">
        <f>SUM(E13:E15)</f>
        <v>779.73</v>
      </c>
      <c r="F12" s="611">
        <f t="shared" ref="F12:AP12" si="44">SUM(F13:F15)</f>
        <v>0</v>
      </c>
      <c r="G12" s="612" t="e">
        <f>(E12/F12)-1</f>
        <v>#DIV/0!</v>
      </c>
      <c r="H12" s="593">
        <f t="shared" si="44"/>
        <v>151.57</v>
      </c>
      <c r="I12" s="593">
        <f t="shared" si="44"/>
        <v>0</v>
      </c>
      <c r="J12" s="594" t="e">
        <f>(H12/I12)-1</f>
        <v>#DIV/0!</v>
      </c>
      <c r="K12" s="626">
        <f t="shared" si="44"/>
        <v>75.52</v>
      </c>
      <c r="L12" s="626">
        <f t="shared" si="44"/>
        <v>0</v>
      </c>
      <c r="M12" s="610" t="e">
        <f>(K12/L12)-1</f>
        <v>#DIV/0!</v>
      </c>
      <c r="N12" s="593">
        <f t="shared" si="44"/>
        <v>0.1</v>
      </c>
      <c r="O12" s="593">
        <f t="shared" ref="O12" si="45">SUM(O13:O15)</f>
        <v>0</v>
      </c>
      <c r="P12" s="594" t="e">
        <f>(N12/O12)-1</f>
        <v>#DIV/0!</v>
      </c>
      <c r="Q12" s="607">
        <f t="shared" si="44"/>
        <v>13.49</v>
      </c>
      <c r="R12" s="607">
        <f t="shared" si="44"/>
        <v>0</v>
      </c>
      <c r="S12" s="598" t="e">
        <f>(Q12/R12)-1</f>
        <v>#DIV/0!</v>
      </c>
      <c r="T12" s="593">
        <f t="shared" si="44"/>
        <v>233.58</v>
      </c>
      <c r="U12" s="593">
        <f t="shared" ref="U12" si="46">SUM(U13:U15)</f>
        <v>0</v>
      </c>
      <c r="V12" s="594" t="e">
        <f>(T12/U12)-1</f>
        <v>#DIV/0!</v>
      </c>
      <c r="W12" s="607">
        <f t="shared" si="44"/>
        <v>0</v>
      </c>
      <c r="X12" s="607">
        <f t="shared" ref="X12" si="47">SUM(X13:X15)</f>
        <v>0</v>
      </c>
      <c r="Y12" s="598" t="e">
        <f>(W12/X12)-1</f>
        <v>#DIV/0!</v>
      </c>
      <c r="Z12" s="593">
        <f t="shared" si="44"/>
        <v>0.02</v>
      </c>
      <c r="AA12" s="593">
        <f t="shared" si="44"/>
        <v>0</v>
      </c>
      <c r="AB12" s="594" t="e">
        <f>(Z12/AA12)-1</f>
        <v>#DIV/0!</v>
      </c>
      <c r="AC12" s="607">
        <f t="shared" ref="AC12:AD12" si="48">SUM(AC13:AC15)</f>
        <v>0</v>
      </c>
      <c r="AD12" s="607">
        <f t="shared" si="48"/>
        <v>0</v>
      </c>
      <c r="AE12" s="598" t="e">
        <f>(AC12/AD12)-1</f>
        <v>#DIV/0!</v>
      </c>
      <c r="AF12" s="593">
        <f t="shared" si="44"/>
        <v>604.04999999999995</v>
      </c>
      <c r="AG12" s="593">
        <f t="shared" si="44"/>
        <v>0</v>
      </c>
      <c r="AH12" s="594" t="e">
        <f>(AF12/AG12)-1</f>
        <v>#DIV/0!</v>
      </c>
      <c r="AI12" s="626">
        <f t="shared" ref="AI12:AJ12" si="49">SUM(AI13:AI15)</f>
        <v>0.01</v>
      </c>
      <c r="AJ12" s="626">
        <f t="shared" si="49"/>
        <v>0</v>
      </c>
      <c r="AK12" s="627" t="e">
        <f>(AI12/AJ12)-1</f>
        <v>#DIV/0!</v>
      </c>
      <c r="AL12" s="593">
        <f t="shared" ref="AL12:AM12" si="50">SUM(AL13:AL15)</f>
        <v>3909.78</v>
      </c>
      <c r="AM12" s="593">
        <f t="shared" si="50"/>
        <v>0</v>
      </c>
      <c r="AN12" s="594" t="e">
        <f>(AL12/AM12)-1</f>
        <v>#DIV/0!</v>
      </c>
      <c r="AO12" s="633">
        <f t="shared" si="44"/>
        <v>5767.85</v>
      </c>
      <c r="AP12" s="633">
        <f t="shared" si="44"/>
        <v>0</v>
      </c>
      <c r="AQ12" s="639" t="e">
        <f>(AO12/AP12)-1</f>
        <v>#DIV/0!</v>
      </c>
    </row>
    <row r="13" spans="1:43" ht="24" customHeight="1" thickTop="1" thickBot="1" x14ac:dyDescent="0.3">
      <c r="A13" s="565">
        <v>755</v>
      </c>
      <c r="B13" s="1699" t="s">
        <v>634</v>
      </c>
      <c r="C13" s="1700"/>
      <c r="D13" s="1701"/>
      <c r="E13" s="608">
        <v>0</v>
      </c>
      <c r="F13" s="609"/>
      <c r="G13" s="756" t="e">
        <f t="shared" ref="G13:G15" si="51">(E13/F13)-1</f>
        <v>#DIV/0!</v>
      </c>
      <c r="H13" s="578">
        <v>0</v>
      </c>
      <c r="I13" s="579"/>
      <c r="J13" s="757" t="e">
        <f t="shared" ref="J13:J15" si="52">(H13/I13)-1</f>
        <v>#DIV/0!</v>
      </c>
      <c r="K13" s="608">
        <v>0</v>
      </c>
      <c r="L13" s="609"/>
      <c r="M13" s="597" t="e">
        <f t="shared" ref="M13:M15" si="53">(K13/L13)-1</f>
        <v>#DIV/0!</v>
      </c>
      <c r="N13" s="578">
        <v>0</v>
      </c>
      <c r="O13" s="579"/>
      <c r="P13" s="576" t="e">
        <f t="shared" ref="P13:P15" si="54">(N13/O13)-1</f>
        <v>#DIV/0!</v>
      </c>
      <c r="Q13" s="608">
        <v>0</v>
      </c>
      <c r="R13" s="609"/>
      <c r="S13" s="597" t="e">
        <f t="shared" ref="S13:S15" si="55">(Q13/R13)-1</f>
        <v>#DIV/0!</v>
      </c>
      <c r="T13" s="578">
        <v>0</v>
      </c>
      <c r="U13" s="579"/>
      <c r="V13" s="576" t="e">
        <f t="shared" ref="V13:V15" si="56">(T13/U13)-1</f>
        <v>#DIV/0!</v>
      </c>
      <c r="W13" s="608">
        <v>0</v>
      </c>
      <c r="X13" s="609"/>
      <c r="Y13" s="597" t="e">
        <f t="shared" ref="Y13:Y15" si="57">(W13/X13)-1</f>
        <v>#DIV/0!</v>
      </c>
      <c r="Z13" s="578">
        <v>0</v>
      </c>
      <c r="AA13" s="579"/>
      <c r="AB13" s="576" t="e">
        <f t="shared" ref="AB13:AB15" si="58">(Z13/AA13)-1</f>
        <v>#DIV/0!</v>
      </c>
      <c r="AC13" s="608">
        <v>0</v>
      </c>
      <c r="AD13" s="609"/>
      <c r="AE13" s="597" t="e">
        <f t="shared" ref="AE13:AE15" si="59">(AC13/AD13)-1</f>
        <v>#DIV/0!</v>
      </c>
      <c r="AF13" s="578">
        <v>0</v>
      </c>
      <c r="AG13" s="579"/>
      <c r="AH13" s="576" t="e">
        <f t="shared" ref="AH13:AH15" si="60">(AF13/AG13)-1</f>
        <v>#DIV/0!</v>
      </c>
      <c r="AI13" s="608">
        <v>0</v>
      </c>
      <c r="AJ13" s="609"/>
      <c r="AK13" s="597" t="e">
        <f t="shared" ref="AK13:AK15" si="61">(AI13/AJ13)-1</f>
        <v>#DIV/0!</v>
      </c>
      <c r="AL13" s="578">
        <v>0</v>
      </c>
      <c r="AM13" s="579"/>
      <c r="AN13" s="576" t="e">
        <f t="shared" ref="AN13:AN15" si="62">(AL13/AM13)-1</f>
        <v>#DIV/0!</v>
      </c>
      <c r="AO13" s="628">
        <f t="shared" si="41"/>
        <v>0</v>
      </c>
      <c r="AP13" s="629">
        <f>F13+I13+L13+O13+R13+U13+X13+AA13+AD13+AG13+AJ13+AM13</f>
        <v>0</v>
      </c>
      <c r="AQ13" s="638" t="e">
        <f t="shared" ref="AQ13:AQ15" si="63">(AO13/AP13)-1</f>
        <v>#DIV/0!</v>
      </c>
    </row>
    <row r="14" spans="1:43" ht="24" customHeight="1" thickTop="1" thickBot="1" x14ac:dyDescent="0.3">
      <c r="A14" s="565">
        <v>759</v>
      </c>
      <c r="B14" s="1699" t="s">
        <v>604</v>
      </c>
      <c r="C14" s="1700"/>
      <c r="D14" s="1701"/>
      <c r="E14" s="750">
        <v>0</v>
      </c>
      <c r="F14" s="751"/>
      <c r="G14" s="752" t="e">
        <f t="shared" si="51"/>
        <v>#DIV/0!</v>
      </c>
      <c r="H14" s="753">
        <v>0</v>
      </c>
      <c r="I14" s="754"/>
      <c r="J14" s="755" t="e">
        <f t="shared" si="52"/>
        <v>#DIV/0!</v>
      </c>
      <c r="K14" s="750">
        <v>73.739999999999995</v>
      </c>
      <c r="L14" s="751"/>
      <c r="M14" s="752" t="e">
        <f t="shared" si="53"/>
        <v>#DIV/0!</v>
      </c>
      <c r="N14" s="753">
        <v>0</v>
      </c>
      <c r="O14" s="754"/>
      <c r="P14" s="755" t="e">
        <f t="shared" si="54"/>
        <v>#DIV/0!</v>
      </c>
      <c r="Q14" s="750">
        <v>0</v>
      </c>
      <c r="R14" s="751"/>
      <c r="S14" s="597" t="e">
        <f t="shared" si="55"/>
        <v>#DIV/0!</v>
      </c>
      <c r="T14" s="578">
        <v>0</v>
      </c>
      <c r="U14" s="579"/>
      <c r="V14" s="576" t="e">
        <f t="shared" si="56"/>
        <v>#DIV/0!</v>
      </c>
      <c r="W14" s="750">
        <v>0</v>
      </c>
      <c r="X14" s="751"/>
      <c r="Y14" s="597" t="e">
        <f t="shared" si="57"/>
        <v>#DIV/0!</v>
      </c>
      <c r="Z14" s="753">
        <v>0</v>
      </c>
      <c r="AA14" s="754"/>
      <c r="AB14" s="576" t="e">
        <f t="shared" si="58"/>
        <v>#DIV/0!</v>
      </c>
      <c r="AC14" s="608">
        <v>0</v>
      </c>
      <c r="AD14" s="609"/>
      <c r="AE14" s="597" t="e">
        <f t="shared" si="59"/>
        <v>#DIV/0!</v>
      </c>
      <c r="AF14" s="578">
        <v>0</v>
      </c>
      <c r="AG14" s="579"/>
      <c r="AH14" s="576" t="e">
        <f t="shared" si="60"/>
        <v>#DIV/0!</v>
      </c>
      <c r="AI14" s="608">
        <v>0</v>
      </c>
      <c r="AJ14" s="609"/>
      <c r="AK14" s="597" t="e">
        <f t="shared" si="61"/>
        <v>#DIV/0!</v>
      </c>
      <c r="AL14" s="578">
        <v>0</v>
      </c>
      <c r="AM14" s="579"/>
      <c r="AN14" s="576" t="e">
        <f t="shared" si="62"/>
        <v>#DIV/0!</v>
      </c>
      <c r="AO14" s="628">
        <f t="shared" si="41"/>
        <v>73.739999999999995</v>
      </c>
      <c r="AP14" s="629">
        <f t="shared" ref="AP14:AP15" si="64">F14+I14+L14+O14+R14+U14+X14+AA14+AD14+AG14+AJ14+AM14</f>
        <v>0</v>
      </c>
      <c r="AQ14" s="638" t="e">
        <f t="shared" si="63"/>
        <v>#DIV/0!</v>
      </c>
    </row>
    <row r="15" spans="1:43" ht="24" customHeight="1" thickTop="1" thickBot="1" x14ac:dyDescent="0.3">
      <c r="A15" s="565">
        <v>778</v>
      </c>
      <c r="B15" s="1699" t="s">
        <v>605</v>
      </c>
      <c r="C15" s="1700"/>
      <c r="D15" s="1701"/>
      <c r="E15" s="604">
        <v>779.73</v>
      </c>
      <c r="F15" s="606"/>
      <c r="G15" s="597" t="e">
        <f t="shared" si="51"/>
        <v>#DIV/0!</v>
      </c>
      <c r="H15" s="572">
        <v>151.57</v>
      </c>
      <c r="I15" s="575"/>
      <c r="J15" s="576" t="e">
        <f t="shared" si="52"/>
        <v>#DIV/0!</v>
      </c>
      <c r="K15" s="604">
        <v>1.78</v>
      </c>
      <c r="L15" s="606"/>
      <c r="M15" s="597" t="e">
        <f t="shared" si="53"/>
        <v>#DIV/0!</v>
      </c>
      <c r="N15" s="572">
        <v>0.1</v>
      </c>
      <c r="O15" s="575"/>
      <c r="P15" s="576" t="e">
        <f t="shared" si="54"/>
        <v>#DIV/0!</v>
      </c>
      <c r="Q15" s="604">
        <v>13.49</v>
      </c>
      <c r="R15" s="606"/>
      <c r="S15" s="597" t="e">
        <f t="shared" si="55"/>
        <v>#DIV/0!</v>
      </c>
      <c r="T15" s="572">
        <v>233.58</v>
      </c>
      <c r="U15" s="575"/>
      <c r="V15" s="576" t="e">
        <f t="shared" si="56"/>
        <v>#DIV/0!</v>
      </c>
      <c r="W15" s="604">
        <v>0</v>
      </c>
      <c r="X15" s="606"/>
      <c r="Y15" s="597" t="e">
        <f t="shared" si="57"/>
        <v>#DIV/0!</v>
      </c>
      <c r="Z15" s="572">
        <v>0.02</v>
      </c>
      <c r="AA15" s="575"/>
      <c r="AB15" s="576" t="e">
        <f t="shared" si="58"/>
        <v>#DIV/0!</v>
      </c>
      <c r="AC15" s="604">
        <v>0</v>
      </c>
      <c r="AD15" s="606"/>
      <c r="AE15" s="597" t="e">
        <f t="shared" si="59"/>
        <v>#DIV/0!</v>
      </c>
      <c r="AF15" s="572">
        <v>604.04999999999995</v>
      </c>
      <c r="AG15" s="575"/>
      <c r="AH15" s="576" t="e">
        <f t="shared" si="60"/>
        <v>#DIV/0!</v>
      </c>
      <c r="AI15" s="604">
        <v>0.01</v>
      </c>
      <c r="AJ15" s="606"/>
      <c r="AK15" s="597" t="e">
        <f t="shared" si="61"/>
        <v>#DIV/0!</v>
      </c>
      <c r="AL15" s="572">
        <v>3909.78</v>
      </c>
      <c r="AM15" s="575"/>
      <c r="AN15" s="576" t="e">
        <f t="shared" si="62"/>
        <v>#DIV/0!</v>
      </c>
      <c r="AO15" s="628">
        <f t="shared" si="41"/>
        <v>5694.1100000000006</v>
      </c>
      <c r="AP15" s="629">
        <f t="shared" si="64"/>
        <v>0</v>
      </c>
      <c r="AQ15" s="638" t="e">
        <f t="shared" si="63"/>
        <v>#DIV/0!</v>
      </c>
    </row>
    <row r="16" spans="1:43" ht="24" customHeight="1" thickTop="1" thickBot="1" x14ac:dyDescent="0.4">
      <c r="B16" s="1705" t="s">
        <v>153</v>
      </c>
      <c r="C16" s="1714"/>
      <c r="E16" s="611">
        <f>SUM(E17:E20)</f>
        <v>64148.639999999999</v>
      </c>
      <c r="F16" s="611">
        <f>SUM(F17:F20)</f>
        <v>0</v>
      </c>
      <c r="G16" s="612" t="e">
        <f>1-(E16/F16)</f>
        <v>#DIV/0!</v>
      </c>
      <c r="H16" s="593">
        <f t="shared" ref="H16:AG16" si="65">SUM(H17:H20)</f>
        <v>74637.47</v>
      </c>
      <c r="I16" s="593">
        <f t="shared" si="65"/>
        <v>0</v>
      </c>
      <c r="J16" s="594" t="e">
        <f>1-(H16/I16)</f>
        <v>#DIV/0!</v>
      </c>
      <c r="K16" s="626">
        <f t="shared" si="65"/>
        <v>68861.579999999987</v>
      </c>
      <c r="L16" s="626">
        <f t="shared" si="65"/>
        <v>0</v>
      </c>
      <c r="M16" s="627" t="e">
        <f>1-(K16/L16)</f>
        <v>#DIV/0!</v>
      </c>
      <c r="N16" s="593">
        <f t="shared" si="65"/>
        <v>66085.09</v>
      </c>
      <c r="O16" s="593">
        <f t="shared" si="65"/>
        <v>0</v>
      </c>
      <c r="P16" s="594" t="e">
        <f>1-(N16/O16)</f>
        <v>#DIV/0!</v>
      </c>
      <c r="Q16" s="626">
        <f t="shared" si="65"/>
        <v>65427.590000000004</v>
      </c>
      <c r="R16" s="626">
        <f t="shared" si="65"/>
        <v>0</v>
      </c>
      <c r="S16" s="627" t="e">
        <f>1-(Q16/R16)</f>
        <v>#DIV/0!</v>
      </c>
      <c r="T16" s="593">
        <f t="shared" si="65"/>
        <v>62531.09</v>
      </c>
      <c r="U16" s="593">
        <f t="shared" ref="U16" si="66">SUM(U17:U20)</f>
        <v>0</v>
      </c>
      <c r="V16" s="594" t="e">
        <f>1-(T16/U16)</f>
        <v>#DIV/0!</v>
      </c>
      <c r="W16" s="626">
        <f t="shared" si="65"/>
        <v>63948.82</v>
      </c>
      <c r="X16" s="626">
        <f>SUM(X17:X20)</f>
        <v>0</v>
      </c>
      <c r="Y16" s="627" t="e">
        <f>1-(W16/X16)</f>
        <v>#DIV/0!</v>
      </c>
      <c r="Z16" s="593">
        <f t="shared" si="65"/>
        <v>59654.49</v>
      </c>
      <c r="AA16" s="593">
        <f t="shared" si="65"/>
        <v>0</v>
      </c>
      <c r="AB16" s="594" t="e">
        <f>1-(Z16/AA16)</f>
        <v>#DIV/0!</v>
      </c>
      <c r="AC16" s="607">
        <f t="shared" ref="AC16" si="67">SUM(AC17:AC20)</f>
        <v>63875.39</v>
      </c>
      <c r="AD16" s="607">
        <f t="shared" ref="AD16" si="68">SUM(AD17:AD20)</f>
        <v>0</v>
      </c>
      <c r="AE16" s="598" t="e">
        <f>1-(AC16/AD16)</f>
        <v>#DIV/0!</v>
      </c>
      <c r="AF16" s="593">
        <f t="shared" si="65"/>
        <v>60314.86</v>
      </c>
      <c r="AG16" s="593">
        <f t="shared" si="65"/>
        <v>0</v>
      </c>
      <c r="AH16" s="594" t="e">
        <f>1-(AF16/AG16)</f>
        <v>#DIV/0!</v>
      </c>
      <c r="AI16" s="626">
        <f t="shared" ref="AI16" si="69">SUM(AI17:AI20)</f>
        <v>62043.179999999993</v>
      </c>
      <c r="AJ16" s="626">
        <f t="shared" ref="AJ16" si="70">SUM(AJ17:AJ20)</f>
        <v>0</v>
      </c>
      <c r="AK16" s="627" t="e">
        <f>1-(AI16/AJ16)</f>
        <v>#DIV/0!</v>
      </c>
      <c r="AL16" s="593">
        <f t="shared" ref="AL16" si="71">SUM(AL17:AL20)</f>
        <v>65602.17</v>
      </c>
      <c r="AM16" s="593">
        <f t="shared" ref="AM16" si="72">SUM(AM17:AM20)</f>
        <v>0</v>
      </c>
      <c r="AN16" s="594" t="e">
        <f>1-(AL16/AM16)</f>
        <v>#DIV/0!</v>
      </c>
      <c r="AO16" s="633">
        <f>SUM(AO17:AO20)</f>
        <v>777130.37</v>
      </c>
      <c r="AP16" s="633">
        <f>SUM(AP17:AP20)</f>
        <v>0</v>
      </c>
      <c r="AQ16" s="639" t="e">
        <f>1-(AO16/AP16)</f>
        <v>#DIV/0!</v>
      </c>
    </row>
    <row r="17" spans="1:43" ht="24" customHeight="1" thickTop="1" thickBot="1" x14ac:dyDescent="0.3">
      <c r="A17" s="565">
        <v>640</v>
      </c>
      <c r="B17" s="1699" t="s">
        <v>606</v>
      </c>
      <c r="C17" s="1700"/>
      <c r="D17" s="1701"/>
      <c r="E17" s="608">
        <v>48871.81</v>
      </c>
      <c r="F17" s="613"/>
      <c r="G17" s="599" t="e">
        <f>1-(E17/F17)</f>
        <v>#DIV/0!</v>
      </c>
      <c r="H17" s="578">
        <v>56644.91</v>
      </c>
      <c r="I17" s="581"/>
      <c r="J17" s="580" t="e">
        <f>1-(H17/I17)</f>
        <v>#DIV/0!</v>
      </c>
      <c r="K17" s="608">
        <v>51929.04</v>
      </c>
      <c r="L17" s="613"/>
      <c r="M17" s="599" t="e">
        <f>1-(K17/L17)</f>
        <v>#DIV/0!</v>
      </c>
      <c r="N17" s="578">
        <v>49838.89</v>
      </c>
      <c r="O17" s="581"/>
      <c r="P17" s="580" t="e">
        <f>1-(N17/O17)</f>
        <v>#DIV/0!</v>
      </c>
      <c r="Q17" s="608">
        <v>48804.3</v>
      </c>
      <c r="R17" s="613"/>
      <c r="S17" s="599" t="e">
        <f>1-(Q17/R17)</f>
        <v>#DIV/0!</v>
      </c>
      <c r="T17" s="578">
        <v>47109.95</v>
      </c>
      <c r="U17" s="581"/>
      <c r="V17" s="580" t="e">
        <f>1-(T17/U17)</f>
        <v>#DIV/0!</v>
      </c>
      <c r="W17" s="608">
        <v>47138.35</v>
      </c>
      <c r="X17" s="613"/>
      <c r="Y17" s="599" t="e">
        <f>1-(W17/X17)</f>
        <v>#DIV/0!</v>
      </c>
      <c r="Z17" s="578">
        <v>44873.68</v>
      </c>
      <c r="AA17" s="581"/>
      <c r="AB17" s="580" t="e">
        <f>1-(Z17/AA17)</f>
        <v>#DIV/0!</v>
      </c>
      <c r="AC17" s="608">
        <v>48606.55</v>
      </c>
      <c r="AD17" s="613"/>
      <c r="AE17" s="599" t="e">
        <f>1-(AC17/AD17)</f>
        <v>#DIV/0!</v>
      </c>
      <c r="AF17" s="578">
        <v>46051.360000000001</v>
      </c>
      <c r="AG17" s="581"/>
      <c r="AH17" s="580" t="e">
        <f>1-(AF17/AG17)</f>
        <v>#DIV/0!</v>
      </c>
      <c r="AI17" s="608">
        <v>47744.1</v>
      </c>
      <c r="AJ17" s="613"/>
      <c r="AK17" s="599" t="e">
        <f>1-(AI17/AJ17)</f>
        <v>#DIV/0!</v>
      </c>
      <c r="AL17" s="578">
        <v>50407.68</v>
      </c>
      <c r="AM17" s="581"/>
      <c r="AN17" s="580" t="e">
        <f>1-(AL17/AM17)</f>
        <v>#DIV/0!</v>
      </c>
      <c r="AO17" s="628">
        <f t="shared" si="41"/>
        <v>588020.62</v>
      </c>
      <c r="AP17" s="629">
        <f>F17+I17+L17+O17+R17+U17+X17+AA17+AD17+AG17+AJ17+AM17</f>
        <v>0</v>
      </c>
      <c r="AQ17" s="640" t="e">
        <f>1-(AO17/AP17)</f>
        <v>#DIV/0!</v>
      </c>
    </row>
    <row r="18" spans="1:43" ht="24" customHeight="1" thickTop="1" thickBot="1" x14ac:dyDescent="0.3">
      <c r="A18" s="565">
        <v>641</v>
      </c>
      <c r="B18" s="1699" t="s">
        <v>607</v>
      </c>
      <c r="C18" s="1700"/>
      <c r="D18" s="1701"/>
      <c r="E18" s="604">
        <v>0</v>
      </c>
      <c r="F18" s="606"/>
      <c r="G18" s="599" t="e">
        <f t="shared" ref="G18:G20" si="73">1-(E18/F18)</f>
        <v>#DIV/0!</v>
      </c>
      <c r="H18" s="572">
        <v>0</v>
      </c>
      <c r="I18" s="575"/>
      <c r="J18" s="580" t="e">
        <f t="shared" ref="J18:J20" si="74">1-(H18/I18)</f>
        <v>#DIV/0!</v>
      </c>
      <c r="K18" s="604">
        <v>0</v>
      </c>
      <c r="L18" s="606"/>
      <c r="M18" s="599" t="e">
        <f t="shared" ref="M18:M20" si="75">1-(K18/L18)</f>
        <v>#DIV/0!</v>
      </c>
      <c r="N18" s="572">
        <v>0</v>
      </c>
      <c r="O18" s="575"/>
      <c r="P18" s="580" t="e">
        <f t="shared" ref="P18:P20" si="76">1-(N18/O18)</f>
        <v>#DIV/0!</v>
      </c>
      <c r="Q18" s="604">
        <v>0</v>
      </c>
      <c r="R18" s="606"/>
      <c r="S18" s="599" t="e">
        <f t="shared" ref="S18:S20" si="77">1-(Q18/R18)</f>
        <v>#DIV/0!</v>
      </c>
      <c r="T18" s="657">
        <v>0</v>
      </c>
      <c r="U18" s="575"/>
      <c r="V18" s="580" t="e">
        <f t="shared" ref="V18:V20" si="78">1-(T18/U18)</f>
        <v>#DIV/0!</v>
      </c>
      <c r="W18" s="604">
        <v>0</v>
      </c>
      <c r="X18" s="606"/>
      <c r="Y18" s="599" t="e">
        <f t="shared" ref="Y18:Y20" si="79">1-(W18/X18)</f>
        <v>#DIV/0!</v>
      </c>
      <c r="Z18" s="572">
        <v>0</v>
      </c>
      <c r="AA18" s="575"/>
      <c r="AB18" s="580" t="e">
        <f t="shared" ref="AB18:AB20" si="80">1-(Z18/AA18)</f>
        <v>#DIV/0!</v>
      </c>
      <c r="AC18" s="604">
        <v>0</v>
      </c>
      <c r="AD18" s="606"/>
      <c r="AE18" s="599" t="e">
        <f t="shared" ref="AE18:AE20" si="81">1-(AC18/AD18)</f>
        <v>#DIV/0!</v>
      </c>
      <c r="AF18" s="572">
        <v>0</v>
      </c>
      <c r="AG18" s="575"/>
      <c r="AH18" s="580" t="e">
        <f t="shared" ref="AH18:AH20" si="82">1-(AF18/AG18)</f>
        <v>#DIV/0!</v>
      </c>
      <c r="AI18" s="604">
        <v>0</v>
      </c>
      <c r="AJ18" s="606"/>
      <c r="AK18" s="599" t="e">
        <f t="shared" ref="AK18:AK20" si="83">1-(AI18/AJ18)</f>
        <v>#DIV/0!</v>
      </c>
      <c r="AL18" s="572">
        <v>0</v>
      </c>
      <c r="AM18" s="575"/>
      <c r="AN18" s="580" t="e">
        <f t="shared" ref="AN18:AN20" si="84">1-(AL18/AM18)</f>
        <v>#DIV/0!</v>
      </c>
      <c r="AO18" s="628">
        <f t="shared" si="41"/>
        <v>0</v>
      </c>
      <c r="AP18" s="629">
        <f t="shared" ref="AP18:AP20" si="85">F18+I18+L18+O18+R18+U18+X18+AA18+AD18+AG18+AJ18+AM18</f>
        <v>0</v>
      </c>
      <c r="AQ18" s="640" t="e">
        <f t="shared" ref="AQ18:AQ20" si="86">1-(AO18/AP18)</f>
        <v>#DIV/0!</v>
      </c>
    </row>
    <row r="19" spans="1:43" ht="24" customHeight="1" thickTop="1" thickBot="1" x14ac:dyDescent="0.3">
      <c r="A19" s="565">
        <v>642</v>
      </c>
      <c r="B19" s="1699" t="s">
        <v>608</v>
      </c>
      <c r="C19" s="1700"/>
      <c r="D19" s="1701"/>
      <c r="E19" s="614">
        <v>14768.83</v>
      </c>
      <c r="F19" s="615"/>
      <c r="G19" s="599" t="e">
        <f t="shared" si="73"/>
        <v>#DIV/0!</v>
      </c>
      <c r="H19" s="572">
        <v>17678.68</v>
      </c>
      <c r="I19" s="583"/>
      <c r="J19" s="580" t="e">
        <f t="shared" si="74"/>
        <v>#DIV/0!</v>
      </c>
      <c r="K19" s="614">
        <v>16463.64</v>
      </c>
      <c r="L19" s="615"/>
      <c r="M19" s="599" t="e">
        <f t="shared" si="75"/>
        <v>#DIV/0!</v>
      </c>
      <c r="N19" s="582">
        <v>16009.79</v>
      </c>
      <c r="O19" s="583"/>
      <c r="P19" s="580" t="e">
        <f t="shared" si="76"/>
        <v>#DIV/0!</v>
      </c>
      <c r="Q19" s="614">
        <v>15743.29</v>
      </c>
      <c r="R19" s="615"/>
      <c r="S19" s="599" t="e">
        <f t="shared" si="77"/>
        <v>#DIV/0!</v>
      </c>
      <c r="T19" s="658">
        <v>15183.64</v>
      </c>
      <c r="U19" s="583"/>
      <c r="V19" s="580" t="e">
        <f t="shared" si="78"/>
        <v>#DIV/0!</v>
      </c>
      <c r="W19" s="614">
        <v>15176.2</v>
      </c>
      <c r="X19" s="615"/>
      <c r="Y19" s="599" t="e">
        <f t="shared" si="79"/>
        <v>#DIV/0!</v>
      </c>
      <c r="Z19" s="582">
        <v>14780.81</v>
      </c>
      <c r="AA19" s="583"/>
      <c r="AB19" s="580" t="e">
        <f t="shared" si="80"/>
        <v>#DIV/0!</v>
      </c>
      <c r="AC19" s="614">
        <v>15031.34</v>
      </c>
      <c r="AD19" s="615"/>
      <c r="AE19" s="599" t="e">
        <f t="shared" si="81"/>
        <v>#DIV/0!</v>
      </c>
      <c r="AF19" s="582">
        <v>13877.16</v>
      </c>
      <c r="AG19" s="583"/>
      <c r="AH19" s="580" t="e">
        <f t="shared" si="82"/>
        <v>#DIV/0!</v>
      </c>
      <c r="AI19" s="614">
        <v>14256.24</v>
      </c>
      <c r="AJ19" s="615"/>
      <c r="AK19" s="599" t="e">
        <f t="shared" si="83"/>
        <v>#DIV/0!</v>
      </c>
      <c r="AL19" s="572">
        <v>15194.49</v>
      </c>
      <c r="AM19" s="583"/>
      <c r="AN19" s="580" t="e">
        <f t="shared" si="84"/>
        <v>#DIV/0!</v>
      </c>
      <c r="AO19" s="628">
        <f t="shared" si="41"/>
        <v>184164.11</v>
      </c>
      <c r="AP19" s="629">
        <f t="shared" si="85"/>
        <v>0</v>
      </c>
      <c r="AQ19" s="640" t="e">
        <f t="shared" si="86"/>
        <v>#DIV/0!</v>
      </c>
    </row>
    <row r="20" spans="1:43" ht="24" customHeight="1" thickTop="1" thickBot="1" x14ac:dyDescent="0.3">
      <c r="A20" s="565">
        <v>649</v>
      </c>
      <c r="B20" s="1699" t="s">
        <v>609</v>
      </c>
      <c r="C20" s="1700"/>
      <c r="D20" s="1701"/>
      <c r="E20" s="616">
        <v>508</v>
      </c>
      <c r="F20" s="617"/>
      <c r="G20" s="599" t="e">
        <f t="shared" si="73"/>
        <v>#DIV/0!</v>
      </c>
      <c r="H20" s="654">
        <v>313.88</v>
      </c>
      <c r="I20" s="584"/>
      <c r="J20" s="580" t="e">
        <f t="shared" si="74"/>
        <v>#DIV/0!</v>
      </c>
      <c r="K20" s="616">
        <v>468.9</v>
      </c>
      <c r="L20" s="617"/>
      <c r="M20" s="599" t="e">
        <f t="shared" si="75"/>
        <v>#DIV/0!</v>
      </c>
      <c r="N20" s="572">
        <v>236.41</v>
      </c>
      <c r="O20" s="584"/>
      <c r="P20" s="580" t="e">
        <f t="shared" si="76"/>
        <v>#DIV/0!</v>
      </c>
      <c r="Q20" s="616">
        <v>880</v>
      </c>
      <c r="R20" s="617"/>
      <c r="S20" s="599" t="e">
        <f t="shared" si="77"/>
        <v>#DIV/0!</v>
      </c>
      <c r="T20" s="654">
        <v>237.5</v>
      </c>
      <c r="U20" s="584"/>
      <c r="V20" s="580" t="e">
        <f t="shared" si="78"/>
        <v>#DIV/0!</v>
      </c>
      <c r="W20" s="616">
        <v>1634.27</v>
      </c>
      <c r="X20" s="617"/>
      <c r="Y20" s="599" t="e">
        <f t="shared" si="79"/>
        <v>#DIV/0!</v>
      </c>
      <c r="Z20" s="654">
        <v>0</v>
      </c>
      <c r="AA20" s="584"/>
      <c r="AB20" s="580" t="e">
        <f t="shared" si="80"/>
        <v>#DIV/0!</v>
      </c>
      <c r="AC20" s="616">
        <v>237.5</v>
      </c>
      <c r="AD20" s="617"/>
      <c r="AE20" s="599" t="e">
        <f t="shared" si="81"/>
        <v>#DIV/0!</v>
      </c>
      <c r="AF20" s="654">
        <v>386.34</v>
      </c>
      <c r="AG20" s="584"/>
      <c r="AH20" s="580" t="e">
        <f t="shared" si="82"/>
        <v>#DIV/0!</v>
      </c>
      <c r="AI20" s="1141">
        <v>42.84</v>
      </c>
      <c r="AJ20" s="617"/>
      <c r="AK20" s="599" t="e">
        <f t="shared" si="83"/>
        <v>#DIV/0!</v>
      </c>
      <c r="AL20" s="654">
        <v>0</v>
      </c>
      <c r="AM20" s="584"/>
      <c r="AN20" s="580" t="e">
        <f t="shared" si="84"/>
        <v>#DIV/0!</v>
      </c>
      <c r="AO20" s="628">
        <f>$E20+$H20+$K20+$N20+$Q20+$T20+$W20+$Z20+$AC20+$AF20+$AI20+$AL20</f>
        <v>4945.6400000000003</v>
      </c>
      <c r="AP20" s="629">
        <f t="shared" si="85"/>
        <v>0</v>
      </c>
      <c r="AQ20" s="640" t="e">
        <f t="shared" si="86"/>
        <v>#DIV/0!</v>
      </c>
    </row>
    <row r="21" spans="1:43" ht="24" customHeight="1" thickTop="1" thickBot="1" x14ac:dyDescent="0.4">
      <c r="B21" s="1713" t="s">
        <v>610</v>
      </c>
      <c r="C21" s="1713"/>
      <c r="D21" s="1713"/>
      <c r="E21" s="611">
        <f>SUM(E22:E31)</f>
        <v>43598.9</v>
      </c>
      <c r="F21" s="611">
        <f>SUM(F22:F31)</f>
        <v>0</v>
      </c>
      <c r="G21" s="612" t="e">
        <f>1-(E21/F21)</f>
        <v>#DIV/0!</v>
      </c>
      <c r="H21" s="593">
        <f t="shared" ref="H21:AG21" si="87">SUM(H22:H31)</f>
        <v>55271.610000000008</v>
      </c>
      <c r="I21" s="593">
        <f t="shared" si="87"/>
        <v>0</v>
      </c>
      <c r="J21" s="594" t="e">
        <f>1-(H21/I21)</f>
        <v>#DIV/0!</v>
      </c>
      <c r="K21" s="626">
        <f t="shared" si="87"/>
        <v>47044.139999999992</v>
      </c>
      <c r="L21" s="626">
        <f t="shared" si="87"/>
        <v>0</v>
      </c>
      <c r="M21" s="627" t="e">
        <f>1-(K21/L21)</f>
        <v>#DIV/0!</v>
      </c>
      <c r="N21" s="593">
        <f t="shared" si="87"/>
        <v>70544.72</v>
      </c>
      <c r="O21" s="593">
        <f t="shared" si="87"/>
        <v>0</v>
      </c>
      <c r="P21" s="594" t="e">
        <f>1-(N21/O21)</f>
        <v>#DIV/0!</v>
      </c>
      <c r="Q21" s="626">
        <f t="shared" si="87"/>
        <v>57133.41</v>
      </c>
      <c r="R21" s="626">
        <f t="shared" si="87"/>
        <v>0</v>
      </c>
      <c r="S21" s="627" t="e">
        <f>1-(Q21/R21)</f>
        <v>#DIV/0!</v>
      </c>
      <c r="T21" s="593">
        <f t="shared" si="87"/>
        <v>48304.829999999994</v>
      </c>
      <c r="U21" s="593">
        <f t="shared" ref="U21" si="88">SUM(U22:U31)</f>
        <v>0</v>
      </c>
      <c r="V21" s="594" t="e">
        <f>1-(T21/U21)</f>
        <v>#DIV/0!</v>
      </c>
      <c r="W21" s="626">
        <f t="shared" si="87"/>
        <v>77469.41</v>
      </c>
      <c r="X21" s="626">
        <f>SUM(X22:X31)</f>
        <v>0</v>
      </c>
      <c r="Y21" s="627" t="e">
        <f>1-(W21/X21)</f>
        <v>#DIV/0!</v>
      </c>
      <c r="Z21" s="593">
        <f t="shared" si="87"/>
        <v>-20733.519999999997</v>
      </c>
      <c r="AA21" s="593">
        <f t="shared" si="87"/>
        <v>0</v>
      </c>
      <c r="AB21" s="594" t="e">
        <f>1-(Z21/AA21)</f>
        <v>#DIV/0!</v>
      </c>
      <c r="AC21" s="607">
        <f t="shared" ref="AC21" si="89">SUM(AC22:AC31)</f>
        <v>50343.340000000004</v>
      </c>
      <c r="AD21" s="607">
        <f t="shared" ref="AD21" si="90">SUM(AD22:AD31)</f>
        <v>0</v>
      </c>
      <c r="AE21" s="598" t="e">
        <f>1-(AC21/AD21)</f>
        <v>#DIV/0!</v>
      </c>
      <c r="AF21" s="593">
        <f>SUM(AF22:AF34)</f>
        <v>53800.71</v>
      </c>
      <c r="AG21" s="593">
        <f t="shared" si="87"/>
        <v>0</v>
      </c>
      <c r="AH21" s="594" t="e">
        <f>1-(AF21/AG21)</f>
        <v>#DIV/0!</v>
      </c>
      <c r="AI21" s="626">
        <f>SUM(AI22:AI34)</f>
        <v>103300.4</v>
      </c>
      <c r="AJ21" s="626">
        <f t="shared" ref="AJ21" si="91">SUM(AJ22:AJ31)</f>
        <v>0</v>
      </c>
      <c r="AK21" s="627" t="e">
        <f>1-(AI21/AJ21)</f>
        <v>#DIV/0!</v>
      </c>
      <c r="AL21" s="593">
        <f>SUM(AL22:AL34)</f>
        <v>22681.29</v>
      </c>
      <c r="AM21" s="593">
        <f t="shared" ref="AM21" si="92">SUM(AM22:AM31)</f>
        <v>0</v>
      </c>
      <c r="AN21" s="594" t="e">
        <f>1-(AL21/AM21)</f>
        <v>#DIV/0!</v>
      </c>
      <c r="AO21" s="633">
        <f>SUM(AO22:AO34)</f>
        <v>608759.24</v>
      </c>
      <c r="AP21" s="633">
        <f>SUM(AP22:AP31)</f>
        <v>0</v>
      </c>
      <c r="AQ21" s="639" t="e">
        <f>1-(AO21/AP21)</f>
        <v>#DIV/0!</v>
      </c>
    </row>
    <row r="22" spans="1:43" ht="24" customHeight="1" thickTop="1" thickBot="1" x14ac:dyDescent="0.3">
      <c r="A22" s="565">
        <v>621</v>
      </c>
      <c r="B22" s="1699" t="s">
        <v>611</v>
      </c>
      <c r="C22" s="1700"/>
      <c r="D22" s="1701"/>
      <c r="E22" s="618">
        <v>1837.5</v>
      </c>
      <c r="F22" s="619"/>
      <c r="G22" s="599" t="e">
        <f>1-(E22/F22)</f>
        <v>#DIV/0!</v>
      </c>
      <c r="H22" s="585">
        <v>2169.5</v>
      </c>
      <c r="I22" s="586"/>
      <c r="J22" s="580" t="e">
        <f>1-(H22/I22)</f>
        <v>#DIV/0!</v>
      </c>
      <c r="K22" s="618">
        <v>2179.5</v>
      </c>
      <c r="L22" s="619"/>
      <c r="M22" s="599" t="e">
        <f>1-(K22/L22)</f>
        <v>#DIV/0!</v>
      </c>
      <c r="N22" s="585">
        <v>2169.5</v>
      </c>
      <c r="O22" s="586"/>
      <c r="P22" s="580" t="e">
        <f>1-(N22/O22)</f>
        <v>#DIV/0!</v>
      </c>
      <c r="Q22" s="618">
        <v>2169.5</v>
      </c>
      <c r="R22" s="619"/>
      <c r="S22" s="599" t="e">
        <f>1-(Q22/R22)</f>
        <v>#DIV/0!</v>
      </c>
      <c r="T22" s="585">
        <v>2673.5</v>
      </c>
      <c r="U22" s="586"/>
      <c r="V22" s="580" t="e">
        <f>1-(T22/U22)</f>
        <v>#DIV/0!</v>
      </c>
      <c r="W22" s="618">
        <v>2169.5</v>
      </c>
      <c r="X22" s="619"/>
      <c r="Y22" s="599" t="e">
        <f>1-(W22/X22)</f>
        <v>#DIV/0!</v>
      </c>
      <c r="Z22" s="585">
        <v>2731.73</v>
      </c>
      <c r="AA22" s="586"/>
      <c r="AB22" s="580" t="e">
        <f>1-(Z22/AA22)</f>
        <v>#DIV/0!</v>
      </c>
      <c r="AC22" s="618">
        <v>2169.5</v>
      </c>
      <c r="AD22" s="619"/>
      <c r="AE22" s="599" t="e">
        <f>1-(AC22/AD22)</f>
        <v>#DIV/0!</v>
      </c>
      <c r="AF22" s="585">
        <v>2351.02</v>
      </c>
      <c r="AG22" s="586"/>
      <c r="AH22" s="580" t="e">
        <f>1-(AF22/AG22)</f>
        <v>#DIV/0!</v>
      </c>
      <c r="AI22" s="618">
        <v>2236.9899999999998</v>
      </c>
      <c r="AJ22" s="619"/>
      <c r="AK22" s="599" t="e">
        <f>1-(AI22/AJ22)</f>
        <v>#DIV/0!</v>
      </c>
      <c r="AL22" s="585">
        <v>2202.9499999999998</v>
      </c>
      <c r="AM22" s="586"/>
      <c r="AN22" s="580" t="e">
        <f>1-(AL22/AM22)</f>
        <v>#DIV/0!</v>
      </c>
      <c r="AO22" s="628">
        <f t="shared" si="41"/>
        <v>27060.69</v>
      </c>
      <c r="AP22" s="629">
        <f>F22+I22+L22+O22+R22+U22+X22+AA22+AD22+AG22+AJ22+AM22</f>
        <v>0</v>
      </c>
      <c r="AQ22" s="640" t="e">
        <f>1-(AO22/AP22)</f>
        <v>#DIV/0!</v>
      </c>
    </row>
    <row r="23" spans="1:43" ht="24" customHeight="1" thickTop="1" thickBot="1" x14ac:dyDescent="0.3">
      <c r="A23" s="565">
        <v>622</v>
      </c>
      <c r="B23" s="1699" t="s">
        <v>612</v>
      </c>
      <c r="C23" s="1700"/>
      <c r="D23" s="1701"/>
      <c r="E23" s="614">
        <f>DATOS!C15</f>
        <v>8188.6</v>
      </c>
      <c r="F23" s="615"/>
      <c r="G23" s="599" t="e">
        <f t="shared" ref="G23:G35" si="93">1-(E23/F23)</f>
        <v>#DIV/0!</v>
      </c>
      <c r="H23" s="582">
        <f>DATOS!E15</f>
        <v>9151.7900000000009</v>
      </c>
      <c r="I23" s="583"/>
      <c r="J23" s="580" t="e">
        <f t="shared" ref="J23:J35" si="94">1-(H23/I23)</f>
        <v>#DIV/0!</v>
      </c>
      <c r="K23" s="614">
        <f>DATOS!G15</f>
        <v>4895.9799999999996</v>
      </c>
      <c r="L23" s="615"/>
      <c r="M23" s="599" t="e">
        <f t="shared" ref="M23:M35" si="95">1-(K23/L23)</f>
        <v>#DIV/0!</v>
      </c>
      <c r="N23" s="582">
        <f>DATOS!I15</f>
        <v>28442.17</v>
      </c>
      <c r="O23" s="583"/>
      <c r="P23" s="580" t="e">
        <f t="shared" ref="P23:P35" si="96">1-(N23/O23)</f>
        <v>#DIV/0!</v>
      </c>
      <c r="Q23" s="614">
        <f>DATOS!K15</f>
        <v>8505.02</v>
      </c>
      <c r="R23" s="615"/>
      <c r="S23" s="599" t="e">
        <f t="shared" ref="S23:S35" si="97">1-(Q23/R23)</f>
        <v>#DIV/0!</v>
      </c>
      <c r="T23" s="582">
        <f>DATOS!M15</f>
        <v>6720.64</v>
      </c>
      <c r="U23" s="583"/>
      <c r="V23" s="580" t="e">
        <f t="shared" ref="V23:V35" si="98">1-(T23/U23)</f>
        <v>#DIV/0!</v>
      </c>
      <c r="W23" s="614">
        <f>DATOS!O15</f>
        <v>9377.39</v>
      </c>
      <c r="X23" s="615"/>
      <c r="Y23" s="599" t="e">
        <f t="shared" ref="Y23:Y35" si="99">1-(W23/X23)</f>
        <v>#DIV/0!</v>
      </c>
      <c r="Z23" s="582">
        <f>DATOS!Q15</f>
        <v>15260.86</v>
      </c>
      <c r="AA23" s="583"/>
      <c r="AB23" s="580" t="e">
        <f t="shared" ref="AB23:AB35" si="100">1-(Z23/AA23)</f>
        <v>#DIV/0!</v>
      </c>
      <c r="AC23" s="614">
        <f>DATOS!S15</f>
        <v>6351.24</v>
      </c>
      <c r="AD23" s="615"/>
      <c r="AE23" s="599" t="e">
        <f t="shared" ref="AE23:AE35" si="101">1-(AC23/AD23)</f>
        <v>#DIV/0!</v>
      </c>
      <c r="AF23" s="582">
        <f>DATOS!U15</f>
        <v>2839.7</v>
      </c>
      <c r="AG23" s="583"/>
      <c r="AH23" s="580" t="e">
        <f t="shared" ref="AH23:AH35" si="102">1-(AF23/AG23)</f>
        <v>#DIV/0!</v>
      </c>
      <c r="AI23" s="614">
        <f>DATOS!W15</f>
        <v>22700.04</v>
      </c>
      <c r="AJ23" s="615"/>
      <c r="AK23" s="599" t="e">
        <f t="shared" ref="AK23:AK35" si="103">1-(AI23/AJ23)</f>
        <v>#DIV/0!</v>
      </c>
      <c r="AL23" s="582">
        <f>DATOS!Y15</f>
        <v>7928.85</v>
      </c>
      <c r="AM23" s="583"/>
      <c r="AN23" s="580" t="e">
        <f t="shared" ref="AN23:AN35" si="104">1-(AL23/AM23)</f>
        <v>#DIV/0!</v>
      </c>
      <c r="AO23" s="628">
        <f t="shared" si="41"/>
        <v>130362.28</v>
      </c>
      <c r="AP23" s="629">
        <f t="shared" ref="AP23:AP31" si="105">F23+I23+L23+O23+R23+U23+X23+AA23+AD23+AG23+AJ23+AM23</f>
        <v>0</v>
      </c>
      <c r="AQ23" s="640" t="e">
        <f t="shared" ref="AQ23:AQ35" si="106">1-(AO23/AP23)</f>
        <v>#DIV/0!</v>
      </c>
    </row>
    <row r="24" spans="1:43" ht="24" customHeight="1" thickTop="1" thickBot="1" x14ac:dyDescent="0.3">
      <c r="A24" s="565">
        <v>623</v>
      </c>
      <c r="B24" s="1699" t="s">
        <v>613</v>
      </c>
      <c r="C24" s="1700"/>
      <c r="D24" s="1701"/>
      <c r="E24" s="616">
        <v>750</v>
      </c>
      <c r="F24" s="617"/>
      <c r="G24" s="596" t="e">
        <f t="shared" si="93"/>
        <v>#DIV/0!</v>
      </c>
      <c r="H24" s="654">
        <v>420</v>
      </c>
      <c r="I24" s="584"/>
      <c r="J24" s="576" t="e">
        <f t="shared" si="94"/>
        <v>#DIV/0!</v>
      </c>
      <c r="K24" s="616">
        <v>2728</v>
      </c>
      <c r="L24" s="617"/>
      <c r="M24" s="596" t="e">
        <f t="shared" si="95"/>
        <v>#DIV/0!</v>
      </c>
      <c r="N24" s="582">
        <v>416.9</v>
      </c>
      <c r="O24" s="584"/>
      <c r="P24" s="574" t="e">
        <f t="shared" si="96"/>
        <v>#DIV/0!</v>
      </c>
      <c r="Q24" s="616">
        <v>556.35</v>
      </c>
      <c r="R24" s="617"/>
      <c r="S24" s="596" t="e">
        <f t="shared" si="97"/>
        <v>#DIV/0!</v>
      </c>
      <c r="T24" s="654">
        <v>180</v>
      </c>
      <c r="U24" s="584"/>
      <c r="V24" s="574" t="e">
        <f t="shared" si="98"/>
        <v>#DIV/0!</v>
      </c>
      <c r="W24" s="616">
        <v>864</v>
      </c>
      <c r="X24" s="617"/>
      <c r="Y24" s="596" t="e">
        <f t="shared" si="99"/>
        <v>#DIV/0!</v>
      </c>
      <c r="Z24" s="654">
        <v>180</v>
      </c>
      <c r="AA24" s="584"/>
      <c r="AB24" s="574" t="e">
        <f t="shared" si="100"/>
        <v>#DIV/0!</v>
      </c>
      <c r="AC24" s="616">
        <v>360</v>
      </c>
      <c r="AD24" s="617"/>
      <c r="AE24" s="597" t="e">
        <f t="shared" si="101"/>
        <v>#DIV/0!</v>
      </c>
      <c r="AF24" s="654">
        <v>180</v>
      </c>
      <c r="AG24" s="584"/>
      <c r="AH24" s="576" t="e">
        <f t="shared" si="102"/>
        <v>#DIV/0!</v>
      </c>
      <c r="AI24" s="616">
        <v>189.99</v>
      </c>
      <c r="AJ24" s="617"/>
      <c r="AK24" s="1143" t="e">
        <f t="shared" si="103"/>
        <v>#DIV/0!</v>
      </c>
      <c r="AL24" s="1144">
        <v>6460.74</v>
      </c>
      <c r="AM24" s="584"/>
      <c r="AN24" s="574" t="e">
        <f t="shared" si="104"/>
        <v>#DIV/0!</v>
      </c>
      <c r="AO24" s="628">
        <f>$E24+$H24+$K24+$N24+$Q24+$T24+$W24+$Z24+$AC24+$AF24+$AI24+$AL24</f>
        <v>13285.98</v>
      </c>
      <c r="AP24" s="629">
        <f t="shared" si="105"/>
        <v>0</v>
      </c>
      <c r="AQ24" s="637" t="e">
        <f t="shared" si="106"/>
        <v>#DIV/0!</v>
      </c>
    </row>
    <row r="25" spans="1:43" ht="24" customHeight="1" thickTop="1" thickBot="1" x14ac:dyDescent="0.3">
      <c r="A25" s="565">
        <v>624</v>
      </c>
      <c r="B25" s="1699" t="s">
        <v>614</v>
      </c>
      <c r="C25" s="1700"/>
      <c r="D25" s="1701"/>
      <c r="E25" s="604">
        <f>DATOS!C17</f>
        <v>466.87</v>
      </c>
      <c r="F25" s="606"/>
      <c r="G25" s="599" t="e">
        <f t="shared" si="93"/>
        <v>#DIV/0!</v>
      </c>
      <c r="H25" s="572">
        <f>DATOS!E17</f>
        <v>10.32</v>
      </c>
      <c r="I25" s="575"/>
      <c r="J25" s="580" t="e">
        <f t="shared" si="94"/>
        <v>#DIV/0!</v>
      </c>
      <c r="K25" s="604">
        <f>DATOS!G17</f>
        <v>64.63</v>
      </c>
      <c r="L25" s="606"/>
      <c r="M25" s="599" t="e">
        <f t="shared" si="95"/>
        <v>#DIV/0!</v>
      </c>
      <c r="N25" s="582">
        <f>DATOS!I17</f>
        <v>123.65</v>
      </c>
      <c r="O25" s="575"/>
      <c r="P25" s="580" t="e">
        <f t="shared" si="96"/>
        <v>#DIV/0!</v>
      </c>
      <c r="Q25" s="604">
        <f>DATOS!K17</f>
        <v>28.27</v>
      </c>
      <c r="R25" s="606"/>
      <c r="S25" s="599" t="e">
        <f t="shared" si="97"/>
        <v>#DIV/0!</v>
      </c>
      <c r="T25" s="572">
        <f>DATOS!M17</f>
        <v>240.69</v>
      </c>
      <c r="U25" s="575"/>
      <c r="V25" s="580" t="e">
        <f t="shared" si="98"/>
        <v>#DIV/0!</v>
      </c>
      <c r="W25" s="604">
        <f>DATOS!O17</f>
        <v>49.13</v>
      </c>
      <c r="X25" s="606"/>
      <c r="Y25" s="599" t="e">
        <f t="shared" si="99"/>
        <v>#DIV/0!</v>
      </c>
      <c r="Z25" s="572">
        <f>DATOS!Q17</f>
        <v>63.81</v>
      </c>
      <c r="AA25" s="575"/>
      <c r="AB25" s="580" t="e">
        <f t="shared" si="100"/>
        <v>#DIV/0!</v>
      </c>
      <c r="AC25" s="604">
        <f>DATOS!S17</f>
        <v>51.36</v>
      </c>
      <c r="AD25" s="606"/>
      <c r="AE25" s="599" t="e">
        <f t="shared" si="101"/>
        <v>#DIV/0!</v>
      </c>
      <c r="AF25" s="572">
        <f>DATOS!U17</f>
        <v>70.48</v>
      </c>
      <c r="AG25" s="575"/>
      <c r="AH25" s="580" t="e">
        <f t="shared" si="102"/>
        <v>#DIV/0!</v>
      </c>
      <c r="AI25" s="604">
        <f>DATOS!W17</f>
        <v>34.54</v>
      </c>
      <c r="AJ25" s="606"/>
      <c r="AK25" s="599" t="e">
        <f t="shared" si="103"/>
        <v>#DIV/0!</v>
      </c>
      <c r="AL25" s="572">
        <f>DATOS!Y17</f>
        <v>67</v>
      </c>
      <c r="AM25" s="575"/>
      <c r="AN25" s="580" t="e">
        <f t="shared" si="104"/>
        <v>#DIV/0!</v>
      </c>
      <c r="AO25" s="628">
        <f t="shared" si="41"/>
        <v>1270.7499999999998</v>
      </c>
      <c r="AP25" s="629">
        <f t="shared" si="105"/>
        <v>0</v>
      </c>
      <c r="AQ25" s="640" t="e">
        <f t="shared" si="106"/>
        <v>#DIV/0!</v>
      </c>
    </row>
    <row r="26" spans="1:43" ht="24" customHeight="1" thickTop="1" thickBot="1" x14ac:dyDescent="0.3">
      <c r="A26" s="565">
        <v>625</v>
      </c>
      <c r="B26" s="1699" t="s">
        <v>615</v>
      </c>
      <c r="C26" s="1700"/>
      <c r="D26" s="1701"/>
      <c r="E26" s="614">
        <v>1124.6300000000001</v>
      </c>
      <c r="F26" s="615"/>
      <c r="G26" s="599" t="e">
        <f t="shared" si="93"/>
        <v>#DIV/0!</v>
      </c>
      <c r="H26" s="582">
        <v>1125.8499999999999</v>
      </c>
      <c r="I26" s="583"/>
      <c r="J26" s="580" t="e">
        <f t="shared" si="94"/>
        <v>#DIV/0!</v>
      </c>
      <c r="K26" s="614">
        <v>1125.83</v>
      </c>
      <c r="L26" s="615"/>
      <c r="M26" s="599" t="e">
        <f t="shared" si="95"/>
        <v>#DIV/0!</v>
      </c>
      <c r="N26" s="582">
        <v>1125.83</v>
      </c>
      <c r="O26" s="583"/>
      <c r="P26" s="580" t="e">
        <f t="shared" si="96"/>
        <v>#DIV/0!</v>
      </c>
      <c r="Q26" s="614">
        <v>1131.58</v>
      </c>
      <c r="R26" s="615"/>
      <c r="S26" s="599" t="e">
        <f t="shared" si="97"/>
        <v>#DIV/0!</v>
      </c>
      <c r="T26" s="582">
        <v>1154.05</v>
      </c>
      <c r="U26" s="583"/>
      <c r="V26" s="580" t="e">
        <f t="shared" si="98"/>
        <v>#DIV/0!</v>
      </c>
      <c r="W26" s="614">
        <v>1133.17</v>
      </c>
      <c r="X26" s="615"/>
      <c r="Y26" s="599" t="e">
        <f t="shared" si="99"/>
        <v>#DIV/0!</v>
      </c>
      <c r="Z26" s="582">
        <v>1133.2</v>
      </c>
      <c r="AA26" s="583"/>
      <c r="AB26" s="580" t="e">
        <f t="shared" si="100"/>
        <v>#DIV/0!</v>
      </c>
      <c r="AC26" s="614">
        <v>1133.2</v>
      </c>
      <c r="AD26" s="615"/>
      <c r="AE26" s="599" t="e">
        <f t="shared" si="101"/>
        <v>#DIV/0!</v>
      </c>
      <c r="AF26" s="582">
        <v>1133.2</v>
      </c>
      <c r="AG26" s="583"/>
      <c r="AH26" s="580" t="e">
        <f t="shared" si="102"/>
        <v>#DIV/0!</v>
      </c>
      <c r="AI26" s="614">
        <v>1254.71</v>
      </c>
      <c r="AJ26" s="615"/>
      <c r="AK26" s="599" t="e">
        <f t="shared" si="103"/>
        <v>#DIV/0!</v>
      </c>
      <c r="AL26" s="582">
        <v>1342.66</v>
      </c>
      <c r="AM26" s="583"/>
      <c r="AN26" s="580" t="e">
        <f t="shared" si="104"/>
        <v>#DIV/0!</v>
      </c>
      <c r="AO26" s="628">
        <f>$E26+$H26+$K26+$N26+$Q26+$T26+$W26+$Z26+$AC26+$AF26+$AI26+$AL26</f>
        <v>13917.91</v>
      </c>
      <c r="AP26" s="629">
        <f t="shared" si="105"/>
        <v>0</v>
      </c>
      <c r="AQ26" s="640" t="e">
        <f t="shared" si="106"/>
        <v>#DIV/0!</v>
      </c>
    </row>
    <row r="27" spans="1:43" ht="24" customHeight="1" thickTop="1" thickBot="1" x14ac:dyDescent="0.3">
      <c r="A27" s="565">
        <v>626</v>
      </c>
      <c r="B27" s="1699" t="s">
        <v>616</v>
      </c>
      <c r="C27" s="1700"/>
      <c r="D27" s="1701"/>
      <c r="E27" s="616">
        <v>60.69</v>
      </c>
      <c r="F27" s="617"/>
      <c r="G27" s="596" t="e">
        <f t="shared" si="93"/>
        <v>#DIV/0!</v>
      </c>
      <c r="H27" s="654">
        <v>103.34</v>
      </c>
      <c r="I27" s="584"/>
      <c r="J27" s="574" t="e">
        <f t="shared" si="94"/>
        <v>#DIV/0!</v>
      </c>
      <c r="K27" s="616">
        <v>15.01</v>
      </c>
      <c r="L27" s="617"/>
      <c r="M27" s="596" t="e">
        <f t="shared" si="95"/>
        <v>#DIV/0!</v>
      </c>
      <c r="N27" s="582">
        <v>21.64</v>
      </c>
      <c r="O27" s="584"/>
      <c r="P27" s="574" t="e">
        <f t="shared" si="96"/>
        <v>#DIV/0!</v>
      </c>
      <c r="Q27" s="616">
        <v>9.5399999999999991</v>
      </c>
      <c r="R27" s="617"/>
      <c r="S27" s="596" t="e">
        <f t="shared" si="97"/>
        <v>#DIV/0!</v>
      </c>
      <c r="T27" s="654">
        <v>39.270000000000003</v>
      </c>
      <c r="U27" s="584"/>
      <c r="V27" s="574" t="e">
        <f t="shared" si="98"/>
        <v>#DIV/0!</v>
      </c>
      <c r="W27" s="616">
        <v>19.920000000000002</v>
      </c>
      <c r="X27" s="617"/>
      <c r="Y27" s="596" t="e">
        <f t="shared" si="99"/>
        <v>#DIV/0!</v>
      </c>
      <c r="Z27" s="654">
        <v>12.38</v>
      </c>
      <c r="AA27" s="584"/>
      <c r="AB27" s="574" t="e">
        <f t="shared" si="100"/>
        <v>#DIV/0!</v>
      </c>
      <c r="AC27" s="616">
        <v>15.09</v>
      </c>
      <c r="AD27" s="617"/>
      <c r="AE27" s="597" t="e">
        <f t="shared" si="101"/>
        <v>#DIV/0!</v>
      </c>
      <c r="AF27" s="654">
        <v>20.82</v>
      </c>
      <c r="AG27" s="584"/>
      <c r="AH27" s="576" t="e">
        <f t="shared" si="102"/>
        <v>#DIV/0!</v>
      </c>
      <c r="AI27" s="616">
        <v>132.37</v>
      </c>
      <c r="AJ27" s="617"/>
      <c r="AK27" s="1143" t="e">
        <f t="shared" si="103"/>
        <v>#DIV/0!</v>
      </c>
      <c r="AL27" s="1144">
        <v>16.91</v>
      </c>
      <c r="AM27" s="584"/>
      <c r="AN27" s="574" t="e">
        <f t="shared" si="104"/>
        <v>#DIV/0!</v>
      </c>
      <c r="AO27" s="628">
        <f t="shared" si="41"/>
        <v>466.98</v>
      </c>
      <c r="AP27" s="629">
        <f t="shared" si="105"/>
        <v>0</v>
      </c>
      <c r="AQ27" s="637" t="e">
        <f t="shared" si="106"/>
        <v>#DIV/0!</v>
      </c>
    </row>
    <row r="28" spans="1:43" ht="24" customHeight="1" thickTop="1" thickBot="1" x14ac:dyDescent="0.3">
      <c r="A28" s="565">
        <v>627</v>
      </c>
      <c r="B28" s="1699" t="s">
        <v>617</v>
      </c>
      <c r="C28" s="1700"/>
      <c r="D28" s="1701"/>
      <c r="E28" s="604">
        <f>DATOS!C18</f>
        <v>115.83</v>
      </c>
      <c r="F28" s="606"/>
      <c r="G28" s="599" t="e">
        <f t="shared" si="93"/>
        <v>#DIV/0!</v>
      </c>
      <c r="H28" s="572">
        <f>DATOS!E18</f>
        <v>88.29</v>
      </c>
      <c r="I28" s="575"/>
      <c r="J28" s="580" t="e">
        <f t="shared" si="94"/>
        <v>#DIV/0!</v>
      </c>
      <c r="K28" s="604">
        <f>DATOS!G18</f>
        <v>119.85</v>
      </c>
      <c r="L28" s="606"/>
      <c r="M28" s="599" t="e">
        <f t="shared" si="95"/>
        <v>#DIV/0!</v>
      </c>
      <c r="N28" s="572">
        <f>DATOS!I18</f>
        <v>232.9</v>
      </c>
      <c r="O28" s="575"/>
      <c r="P28" s="580" t="e">
        <f t="shared" si="96"/>
        <v>#DIV/0!</v>
      </c>
      <c r="Q28" s="604">
        <f>DATOS!K18</f>
        <v>193.25</v>
      </c>
      <c r="R28" s="606"/>
      <c r="S28" s="599" t="e">
        <f t="shared" si="97"/>
        <v>#DIV/0!</v>
      </c>
      <c r="T28" s="572">
        <f>DATOS!M18</f>
        <v>54.25</v>
      </c>
      <c r="U28" s="575"/>
      <c r="V28" s="580" t="e">
        <f t="shared" si="98"/>
        <v>#DIV/0!</v>
      </c>
      <c r="W28" s="604">
        <f>DATOS!O18</f>
        <v>1183.78</v>
      </c>
      <c r="X28" s="606"/>
      <c r="Y28" s="599" t="e">
        <f t="shared" si="99"/>
        <v>#DIV/0!</v>
      </c>
      <c r="Z28" s="575">
        <f>DATOS!Q18</f>
        <v>395.79</v>
      </c>
      <c r="AA28" s="575"/>
      <c r="AB28" s="580" t="e">
        <f t="shared" si="100"/>
        <v>#DIV/0!</v>
      </c>
      <c r="AC28" s="604">
        <f>DATOS!S18</f>
        <v>35.700000000000003</v>
      </c>
      <c r="AD28" s="606"/>
      <c r="AE28" s="599" t="e">
        <f t="shared" si="101"/>
        <v>#DIV/0!</v>
      </c>
      <c r="AF28" s="572">
        <f>DATOS!U18</f>
        <v>385.79</v>
      </c>
      <c r="AG28" s="575"/>
      <c r="AH28" s="580" t="e">
        <f t="shared" si="102"/>
        <v>#DIV/0!</v>
      </c>
      <c r="AI28" s="604">
        <f>DATOS!W18</f>
        <v>78.98</v>
      </c>
      <c r="AJ28" s="606"/>
      <c r="AK28" s="599" t="e">
        <f t="shared" si="103"/>
        <v>#DIV/0!</v>
      </c>
      <c r="AL28" s="572">
        <f>DATOS!Y18</f>
        <v>1007.22</v>
      </c>
      <c r="AM28" s="575"/>
      <c r="AN28" s="580" t="e">
        <f t="shared" si="104"/>
        <v>#DIV/0!</v>
      </c>
      <c r="AO28" s="628">
        <f t="shared" si="41"/>
        <v>3891.63</v>
      </c>
      <c r="AP28" s="629">
        <f t="shared" si="105"/>
        <v>0</v>
      </c>
      <c r="AQ28" s="640" t="e">
        <f t="shared" si="106"/>
        <v>#DIV/0!</v>
      </c>
    </row>
    <row r="29" spans="1:43" ht="24" customHeight="1" thickTop="1" thickBot="1" x14ac:dyDescent="0.3">
      <c r="A29" s="565">
        <v>628</v>
      </c>
      <c r="B29" s="1699" t="s">
        <v>618</v>
      </c>
      <c r="C29" s="1700"/>
      <c r="D29" s="1701"/>
      <c r="E29" s="614">
        <f>DATOS!C11</f>
        <v>20143.64</v>
      </c>
      <c r="F29" s="615"/>
      <c r="G29" s="599" t="e">
        <f t="shared" si="93"/>
        <v>#DIV/0!</v>
      </c>
      <c r="H29" s="582">
        <f>DATOS!E11</f>
        <v>28975.08</v>
      </c>
      <c r="I29" s="583"/>
      <c r="J29" s="580" t="e">
        <f t="shared" si="94"/>
        <v>#DIV/0!</v>
      </c>
      <c r="K29" s="614">
        <f>DATOS!G11</f>
        <v>24627.77</v>
      </c>
      <c r="L29" s="615"/>
      <c r="M29" s="599" t="e">
        <f t="shared" si="95"/>
        <v>#DIV/0!</v>
      </c>
      <c r="N29" s="582">
        <f>DATOS!I11</f>
        <v>25770.49</v>
      </c>
      <c r="O29" s="583"/>
      <c r="P29" s="580" t="e">
        <f t="shared" si="96"/>
        <v>#DIV/0!</v>
      </c>
      <c r="Q29" s="614">
        <f>DATOS!K11</f>
        <v>23043.08</v>
      </c>
      <c r="R29" s="615"/>
      <c r="S29" s="599" t="e">
        <f t="shared" si="97"/>
        <v>#DIV/0!</v>
      </c>
      <c r="T29" s="582">
        <f>DATOS!M11</f>
        <v>25921.26</v>
      </c>
      <c r="U29" s="583"/>
      <c r="V29" s="580" t="e">
        <f t="shared" si="98"/>
        <v>#DIV/0!</v>
      </c>
      <c r="W29" s="614">
        <f>DATOS!O11</f>
        <v>32047.66</v>
      </c>
      <c r="X29" s="615"/>
      <c r="Y29" s="599" t="e">
        <f t="shared" si="99"/>
        <v>#DIV/0!</v>
      </c>
      <c r="Z29" s="582">
        <f>DATOS!Q11</f>
        <v>18418.330000000002</v>
      </c>
      <c r="AA29" s="583"/>
      <c r="AB29" s="580" t="e">
        <f t="shared" si="100"/>
        <v>#DIV/0!</v>
      </c>
      <c r="AC29" s="614">
        <f>DATOS!S11</f>
        <v>24330.93</v>
      </c>
      <c r="AD29" s="615"/>
      <c r="AE29" s="599" t="e">
        <f t="shared" si="101"/>
        <v>#DIV/0!</v>
      </c>
      <c r="AF29" s="582">
        <f>DATOS!U11</f>
        <v>27341.46</v>
      </c>
      <c r="AG29" s="583"/>
      <c r="AH29" s="580" t="e">
        <f t="shared" si="102"/>
        <v>#DIV/0!</v>
      </c>
      <c r="AI29" s="614">
        <f>DATOS!W11</f>
        <v>23810.58</v>
      </c>
      <c r="AJ29" s="615"/>
      <c r="AK29" s="599" t="e">
        <f t="shared" si="103"/>
        <v>#DIV/0!</v>
      </c>
      <c r="AL29" s="582">
        <f>DATOS!Y11</f>
        <v>24780.97</v>
      </c>
      <c r="AM29" s="583"/>
      <c r="AN29" s="580" t="e">
        <f t="shared" si="104"/>
        <v>#DIV/0!</v>
      </c>
      <c r="AO29" s="628">
        <f t="shared" si="41"/>
        <v>299211.25</v>
      </c>
      <c r="AP29" s="629">
        <f t="shared" si="105"/>
        <v>0</v>
      </c>
      <c r="AQ29" s="640" t="e">
        <f t="shared" si="106"/>
        <v>#DIV/0!</v>
      </c>
    </row>
    <row r="30" spans="1:43" ht="24" customHeight="1" thickTop="1" thickBot="1" x14ac:dyDescent="0.3">
      <c r="A30" s="565">
        <v>629</v>
      </c>
      <c r="B30" s="1699" t="s">
        <v>619</v>
      </c>
      <c r="C30" s="1700"/>
      <c r="D30" s="1701"/>
      <c r="E30" s="616">
        <v>10911.14</v>
      </c>
      <c r="F30" s="617"/>
      <c r="G30" s="599" t="e">
        <f t="shared" si="93"/>
        <v>#DIV/0!</v>
      </c>
      <c r="H30" s="654">
        <v>13223.54</v>
      </c>
      <c r="I30" s="584"/>
      <c r="J30" s="580" t="e">
        <f t="shared" si="94"/>
        <v>#DIV/0!</v>
      </c>
      <c r="K30" s="616">
        <v>11162.55</v>
      </c>
      <c r="L30" s="617"/>
      <c r="M30" s="599" t="e">
        <f t="shared" si="95"/>
        <v>#DIV/0!</v>
      </c>
      <c r="N30" s="582">
        <v>12241.64</v>
      </c>
      <c r="O30" s="584"/>
      <c r="P30" s="580" t="e">
        <f t="shared" si="96"/>
        <v>#DIV/0!</v>
      </c>
      <c r="Q30" s="616">
        <v>11941.35</v>
      </c>
      <c r="R30" s="617"/>
      <c r="S30" s="599" t="e">
        <f t="shared" si="97"/>
        <v>#DIV/0!</v>
      </c>
      <c r="T30" s="654">
        <v>11208.04</v>
      </c>
      <c r="U30" s="584"/>
      <c r="V30" s="580" t="e">
        <f t="shared" si="98"/>
        <v>#DIV/0!</v>
      </c>
      <c r="W30" s="616">
        <v>13356.32</v>
      </c>
      <c r="X30" s="617"/>
      <c r="Y30" s="599" t="e">
        <f t="shared" si="99"/>
        <v>#DIV/0!</v>
      </c>
      <c r="Z30" s="654">
        <v>-58929.62</v>
      </c>
      <c r="AA30" s="584"/>
      <c r="AB30" s="580" t="e">
        <f t="shared" si="100"/>
        <v>#DIV/0!</v>
      </c>
      <c r="AC30" s="616">
        <v>11471.61</v>
      </c>
      <c r="AD30" s="617"/>
      <c r="AE30" s="599" t="e">
        <f t="shared" si="101"/>
        <v>#DIV/0!</v>
      </c>
      <c r="AF30" s="654">
        <v>10772.45</v>
      </c>
      <c r="AG30" s="584"/>
      <c r="AH30" s="580" t="e">
        <f t="shared" si="102"/>
        <v>#DIV/0!</v>
      </c>
      <c r="AI30" s="616">
        <v>52862.2</v>
      </c>
      <c r="AJ30" s="617"/>
      <c r="AK30" s="599" t="e">
        <f t="shared" si="103"/>
        <v>#DIV/0!</v>
      </c>
      <c r="AL30" s="582">
        <v>-35436.76</v>
      </c>
      <c r="AM30" s="584"/>
      <c r="AN30" s="580" t="e">
        <f t="shared" si="104"/>
        <v>#DIV/0!</v>
      </c>
      <c r="AO30" s="628">
        <f>$E30+$H30+$K30+$N30+$Q30+$T30+$W30+$Z30+$AC30+$AF30+$AI30+$AL30</f>
        <v>64784.459999999985</v>
      </c>
      <c r="AP30" s="629">
        <f t="shared" si="105"/>
        <v>0</v>
      </c>
      <c r="AQ30" s="640" t="e">
        <f t="shared" si="106"/>
        <v>#DIV/0!</v>
      </c>
    </row>
    <row r="31" spans="1:43" ht="24" customHeight="1" thickTop="1" thickBot="1" x14ac:dyDescent="0.3">
      <c r="A31" s="565">
        <v>630</v>
      </c>
      <c r="B31" s="1699" t="s">
        <v>620</v>
      </c>
      <c r="C31" s="1700"/>
      <c r="D31" s="1701"/>
      <c r="E31" s="604">
        <v>0</v>
      </c>
      <c r="F31" s="606"/>
      <c r="G31" s="599" t="e">
        <f t="shared" si="93"/>
        <v>#DIV/0!</v>
      </c>
      <c r="H31" s="572">
        <v>3.9</v>
      </c>
      <c r="I31" s="575"/>
      <c r="J31" s="580" t="e">
        <f t="shared" si="94"/>
        <v>#DIV/0!</v>
      </c>
      <c r="K31" s="604">
        <v>125.02</v>
      </c>
      <c r="L31" s="606"/>
      <c r="M31" s="599" t="e">
        <f t="shared" si="95"/>
        <v>#DIV/0!</v>
      </c>
      <c r="N31" s="572">
        <v>0</v>
      </c>
      <c r="O31" s="575"/>
      <c r="P31" s="580" t="e">
        <f t="shared" si="96"/>
        <v>#DIV/0!</v>
      </c>
      <c r="Q31" s="604">
        <v>9555.4699999999993</v>
      </c>
      <c r="R31" s="606"/>
      <c r="S31" s="599" t="e">
        <f t="shared" si="97"/>
        <v>#DIV/0!</v>
      </c>
      <c r="T31" s="572">
        <v>113.13</v>
      </c>
      <c r="U31" s="575"/>
      <c r="V31" s="580" t="e">
        <f t="shared" si="98"/>
        <v>#DIV/0!</v>
      </c>
      <c r="W31" s="604">
        <v>17268.54</v>
      </c>
      <c r="X31" s="606"/>
      <c r="Y31" s="599" t="e">
        <f t="shared" si="99"/>
        <v>#DIV/0!</v>
      </c>
      <c r="Z31" s="572">
        <v>0</v>
      </c>
      <c r="AA31" s="575"/>
      <c r="AB31" s="580" t="e">
        <f t="shared" si="100"/>
        <v>#DIV/0!</v>
      </c>
      <c r="AC31" s="604">
        <v>4424.71</v>
      </c>
      <c r="AD31" s="606"/>
      <c r="AE31" s="599" t="e">
        <f t="shared" si="101"/>
        <v>#DIV/0!</v>
      </c>
      <c r="AF31" s="572">
        <v>8705.7900000000009</v>
      </c>
      <c r="AG31" s="575"/>
      <c r="AH31" s="580" t="e">
        <f t="shared" si="102"/>
        <v>#DIV/0!</v>
      </c>
      <c r="AI31" s="604">
        <v>0</v>
      </c>
      <c r="AJ31" s="606"/>
      <c r="AK31" s="599" t="e">
        <f t="shared" si="103"/>
        <v>#DIV/0!</v>
      </c>
      <c r="AL31" s="572">
        <v>113.13</v>
      </c>
      <c r="AM31" s="575"/>
      <c r="AN31" s="580" t="e">
        <f t="shared" si="104"/>
        <v>#DIV/0!</v>
      </c>
      <c r="AO31" s="628">
        <f t="shared" si="41"/>
        <v>40309.689999999995</v>
      </c>
      <c r="AP31" s="629">
        <f t="shared" si="105"/>
        <v>0</v>
      </c>
      <c r="AQ31" s="640" t="e">
        <f t="shared" si="106"/>
        <v>#DIV/0!</v>
      </c>
    </row>
    <row r="32" spans="1:43" ht="24" customHeight="1" thickTop="1" thickBot="1" x14ac:dyDescent="0.3">
      <c r="A32" s="565">
        <v>650</v>
      </c>
      <c r="B32" s="1699" t="s">
        <v>907</v>
      </c>
      <c r="C32" s="1700"/>
      <c r="D32" s="1701"/>
      <c r="E32" s="1290">
        <v>0</v>
      </c>
      <c r="F32" s="1291"/>
      <c r="G32" s="599" t="e">
        <f t="shared" si="93"/>
        <v>#DIV/0!</v>
      </c>
      <c r="H32" s="1293">
        <v>0</v>
      </c>
      <c r="I32" s="1292"/>
      <c r="J32" s="580" t="e">
        <f t="shared" si="94"/>
        <v>#DIV/0!</v>
      </c>
      <c r="K32" s="1289">
        <v>0</v>
      </c>
      <c r="L32" s="1287"/>
      <c r="M32" s="1294" t="e">
        <f t="shared" si="95"/>
        <v>#DIV/0!</v>
      </c>
      <c r="N32" s="1146">
        <v>0</v>
      </c>
      <c r="O32" s="1292"/>
      <c r="P32" s="580" t="e">
        <f t="shared" si="96"/>
        <v>#DIV/0!</v>
      </c>
      <c r="Q32" s="1289">
        <v>0</v>
      </c>
      <c r="R32" s="1287"/>
      <c r="S32" s="599" t="e">
        <f t="shared" si="97"/>
        <v>#DIV/0!</v>
      </c>
      <c r="T32" s="1146">
        <v>0</v>
      </c>
      <c r="U32" s="1292"/>
      <c r="V32" s="580" t="e">
        <f t="shared" si="98"/>
        <v>#DIV/0!</v>
      </c>
      <c r="W32" s="1289">
        <v>0</v>
      </c>
      <c r="X32" s="1287"/>
      <c r="Y32" s="1412" t="e">
        <f t="shared" si="99"/>
        <v>#DIV/0!</v>
      </c>
      <c r="Z32" s="1146">
        <v>0</v>
      </c>
      <c r="AA32" s="1292"/>
      <c r="AB32" s="580" t="e">
        <f t="shared" si="100"/>
        <v>#DIV/0!</v>
      </c>
      <c r="AC32" s="1289">
        <v>0</v>
      </c>
      <c r="AD32" s="1287"/>
      <c r="AE32" s="599" t="e">
        <f t="shared" si="101"/>
        <v>#DIV/0!</v>
      </c>
      <c r="AF32" s="1146">
        <v>0</v>
      </c>
      <c r="AG32" s="1292"/>
      <c r="AH32" s="580" t="e">
        <f t="shared" si="102"/>
        <v>#DIV/0!</v>
      </c>
      <c r="AI32" s="604">
        <v>0</v>
      </c>
      <c r="AJ32" s="606"/>
      <c r="AK32" s="1296" t="e">
        <f t="shared" si="103"/>
        <v>#DIV/0!</v>
      </c>
      <c r="AL32" s="1146">
        <v>0</v>
      </c>
      <c r="AM32" s="1292"/>
      <c r="AN32" s="580" t="e">
        <f t="shared" si="104"/>
        <v>#DIV/0!</v>
      </c>
      <c r="AO32" s="628">
        <f t="shared" si="41"/>
        <v>0</v>
      </c>
      <c r="AP32" s="629"/>
      <c r="AQ32" s="640" t="e">
        <f t="shared" si="106"/>
        <v>#DIV/0!</v>
      </c>
    </row>
    <row r="33" spans="1:43" ht="24" customHeight="1" thickTop="1" thickBot="1" x14ac:dyDescent="0.3">
      <c r="A33" s="565">
        <v>694</v>
      </c>
      <c r="B33" s="1699" t="s">
        <v>908</v>
      </c>
      <c r="C33" s="1700"/>
      <c r="D33" s="1701"/>
      <c r="E33" s="1288">
        <v>0</v>
      </c>
      <c r="F33" s="606"/>
      <c r="G33" s="599" t="e">
        <f t="shared" si="93"/>
        <v>#DIV/0!</v>
      </c>
      <c r="H33" s="1293">
        <v>0</v>
      </c>
      <c r="I33" s="575"/>
      <c r="J33" s="580" t="e">
        <f t="shared" si="94"/>
        <v>#DIV/0!</v>
      </c>
      <c r="K33" s="1289">
        <v>0</v>
      </c>
      <c r="L33" s="1287"/>
      <c r="M33" s="1294" t="e">
        <f t="shared" si="95"/>
        <v>#DIV/0!</v>
      </c>
      <c r="N33" s="1146">
        <v>0</v>
      </c>
      <c r="O33" s="575"/>
      <c r="P33" s="580" t="e">
        <f t="shared" si="96"/>
        <v>#DIV/0!</v>
      </c>
      <c r="Q33" s="1289">
        <v>0</v>
      </c>
      <c r="R33" s="1287"/>
      <c r="S33" s="599" t="e">
        <f t="shared" si="97"/>
        <v>#DIV/0!</v>
      </c>
      <c r="T33" s="1146">
        <v>0</v>
      </c>
      <c r="U33" s="575"/>
      <c r="V33" s="580" t="e">
        <f t="shared" si="98"/>
        <v>#DIV/0!</v>
      </c>
      <c r="W33" s="1289">
        <v>0</v>
      </c>
      <c r="X33" s="1287"/>
      <c r="Y33" s="1412" t="e">
        <f t="shared" si="99"/>
        <v>#DIV/0!</v>
      </c>
      <c r="Z33" s="1146">
        <v>0</v>
      </c>
      <c r="AA33" s="575"/>
      <c r="AB33" s="580" t="e">
        <f t="shared" si="100"/>
        <v>#DIV/0!</v>
      </c>
      <c r="AC33" s="1289">
        <v>0</v>
      </c>
      <c r="AD33" s="1287"/>
      <c r="AE33" s="599" t="e">
        <f t="shared" si="101"/>
        <v>#DIV/0!</v>
      </c>
      <c r="AF33" s="1146">
        <v>0</v>
      </c>
      <c r="AG33" s="575"/>
      <c r="AH33" s="580" t="e">
        <f t="shared" si="102"/>
        <v>#DIV/0!</v>
      </c>
      <c r="AI33" s="614">
        <v>0</v>
      </c>
      <c r="AJ33" s="615"/>
      <c r="AK33" s="1296" t="e">
        <f t="shared" si="103"/>
        <v>#DIV/0!</v>
      </c>
      <c r="AL33" s="1146">
        <v>0</v>
      </c>
      <c r="AM33" s="575"/>
      <c r="AN33" s="580" t="e">
        <f t="shared" si="104"/>
        <v>#DIV/0!</v>
      </c>
      <c r="AO33" s="628">
        <f t="shared" si="41"/>
        <v>0</v>
      </c>
      <c r="AP33" s="629"/>
      <c r="AQ33" s="640" t="e">
        <f t="shared" si="106"/>
        <v>#DIV/0!</v>
      </c>
    </row>
    <row r="34" spans="1:43" ht="24" customHeight="1" thickTop="1" thickBot="1" x14ac:dyDescent="0.3">
      <c r="A34" s="565">
        <v>695</v>
      </c>
      <c r="B34" s="1699" t="s">
        <v>778</v>
      </c>
      <c r="C34" s="1700"/>
      <c r="D34" s="1701"/>
      <c r="E34" s="1145">
        <v>0</v>
      </c>
      <c r="F34" s="606"/>
      <c r="G34" s="599" t="e">
        <f t="shared" si="93"/>
        <v>#DIV/0!</v>
      </c>
      <c r="H34" s="1293">
        <v>0</v>
      </c>
      <c r="I34" s="575"/>
      <c r="J34" s="580" t="e">
        <f t="shared" si="94"/>
        <v>#DIV/0!</v>
      </c>
      <c r="K34" s="604">
        <v>0</v>
      </c>
      <c r="L34" s="1287"/>
      <c r="M34" s="1295" t="e">
        <f t="shared" si="95"/>
        <v>#DIV/0!</v>
      </c>
      <c r="N34" s="1146">
        <v>0</v>
      </c>
      <c r="O34" s="575"/>
      <c r="P34" s="580" t="e">
        <f t="shared" si="96"/>
        <v>#DIV/0!</v>
      </c>
      <c r="Q34" s="604">
        <v>0</v>
      </c>
      <c r="R34" s="1287"/>
      <c r="S34" s="599" t="e">
        <f t="shared" si="97"/>
        <v>#DIV/0!</v>
      </c>
      <c r="T34" s="1146">
        <v>0</v>
      </c>
      <c r="U34" s="575"/>
      <c r="V34" s="580" t="e">
        <f t="shared" si="98"/>
        <v>#DIV/0!</v>
      </c>
      <c r="W34" s="604">
        <v>0</v>
      </c>
      <c r="X34" s="1287"/>
      <c r="Y34" s="1413" t="e">
        <f t="shared" si="99"/>
        <v>#DIV/0!</v>
      </c>
      <c r="Z34" s="1146">
        <v>0</v>
      </c>
      <c r="AA34" s="575"/>
      <c r="AB34" s="580" t="e">
        <f t="shared" si="100"/>
        <v>#DIV/0!</v>
      </c>
      <c r="AC34" s="604">
        <v>0</v>
      </c>
      <c r="AD34" s="1287"/>
      <c r="AE34" s="599" t="e">
        <f t="shared" si="101"/>
        <v>#DIV/0!</v>
      </c>
      <c r="AF34" s="1146">
        <v>0</v>
      </c>
      <c r="AG34" s="575"/>
      <c r="AH34" s="580" t="e">
        <f t="shared" si="102"/>
        <v>#DIV/0!</v>
      </c>
      <c r="AI34" s="616">
        <v>0</v>
      </c>
      <c r="AJ34" s="617"/>
      <c r="AK34" s="1297" t="e">
        <f t="shared" si="103"/>
        <v>#DIV/0!</v>
      </c>
      <c r="AL34" s="1146">
        <v>14197.62</v>
      </c>
      <c r="AM34" s="575"/>
      <c r="AN34" s="580" t="e">
        <f t="shared" si="104"/>
        <v>#DIV/0!</v>
      </c>
      <c r="AO34" s="628">
        <f t="shared" si="41"/>
        <v>14197.62</v>
      </c>
      <c r="AP34" s="629"/>
      <c r="AQ34" s="640" t="e">
        <f t="shared" si="106"/>
        <v>#DIV/0!</v>
      </c>
    </row>
    <row r="35" spans="1:43" ht="24" customHeight="1" thickTop="1" thickBot="1" x14ac:dyDescent="0.3">
      <c r="A35" s="565"/>
      <c r="B35" s="1699" t="s">
        <v>621</v>
      </c>
      <c r="C35" s="1700"/>
      <c r="D35" s="1701"/>
      <c r="E35" s="655">
        <f>E31+E30+E27+E26+E24+E22</f>
        <v>14683.96</v>
      </c>
      <c r="F35" s="656">
        <f>F31+F30+F27+F26+F24+F22</f>
        <v>0</v>
      </c>
      <c r="G35" s="599" t="e">
        <f t="shared" si="93"/>
        <v>#DIV/0!</v>
      </c>
      <c r="H35" s="587">
        <f>H31+H30+H27+H26+H24+H22</f>
        <v>17046.13</v>
      </c>
      <c r="I35" s="587">
        <f>I31+I30+I27+I26+I24+I22</f>
        <v>0</v>
      </c>
      <c r="J35" s="580" t="e">
        <f t="shared" si="94"/>
        <v>#DIV/0!</v>
      </c>
      <c r="K35" s="620">
        <f>K31+K30+K27+K26+K24+K22</f>
        <v>17335.91</v>
      </c>
      <c r="L35" s="620">
        <f>L31+L30+L27+L26+L24+L22</f>
        <v>0</v>
      </c>
      <c r="M35" s="599" t="e">
        <f t="shared" si="95"/>
        <v>#DIV/0!</v>
      </c>
      <c r="N35" s="587">
        <f>N31+N30+N27+N26+N24+N22</f>
        <v>15975.509999999998</v>
      </c>
      <c r="O35" s="587">
        <f>O31+O30+O27+O26+O24+O22</f>
        <v>0</v>
      </c>
      <c r="P35" s="580" t="e">
        <f t="shared" si="96"/>
        <v>#DIV/0!</v>
      </c>
      <c r="Q35" s="620">
        <f>Q31+Q30+Q27+Q26+Q24+Q22</f>
        <v>25363.79</v>
      </c>
      <c r="R35" s="620">
        <f>R31+R30+R27+R26+R24+R22</f>
        <v>0</v>
      </c>
      <c r="S35" s="599" t="e">
        <f t="shared" si="97"/>
        <v>#DIV/0!</v>
      </c>
      <c r="T35" s="587">
        <f>T31+T30+T27+T26+T24+T22</f>
        <v>15367.99</v>
      </c>
      <c r="U35" s="587">
        <f>U31+U30+U27+U26+U24+U22</f>
        <v>0</v>
      </c>
      <c r="V35" s="580" t="e">
        <f t="shared" si="98"/>
        <v>#DIV/0!</v>
      </c>
      <c r="W35" s="620">
        <f>W31+W30+W27+W26+W24+W22</f>
        <v>34811.449999999997</v>
      </c>
      <c r="X35" s="620">
        <f>X31+X30+X27+X26+X24+X22</f>
        <v>0</v>
      </c>
      <c r="Y35" s="599" t="e">
        <f t="shared" si="99"/>
        <v>#DIV/0!</v>
      </c>
      <c r="Z35" s="587">
        <f>Z31+Z30+Z27+Z26+Z24+Z22</f>
        <v>-54872.310000000005</v>
      </c>
      <c r="AA35" s="587">
        <f>AA31+AA30+AA27+AA26+AA24+AA22</f>
        <v>0</v>
      </c>
      <c r="AB35" s="580" t="e">
        <f t="shared" si="100"/>
        <v>#DIV/0!</v>
      </c>
      <c r="AC35" s="620">
        <f>AC31+AC30+AC27+AC26+AC24+AC22</f>
        <v>19574.11</v>
      </c>
      <c r="AD35" s="620">
        <f>AD31+AD30+AD27+AD26+AD24+AD22</f>
        <v>0</v>
      </c>
      <c r="AE35" s="599" t="e">
        <f t="shared" si="101"/>
        <v>#DIV/0!</v>
      </c>
      <c r="AF35" s="587">
        <f>AF31+AF30+AF27+AF26+AF24+AF22</f>
        <v>23163.280000000002</v>
      </c>
      <c r="AG35" s="587">
        <f>AG31+AG30+AG27+AG26+AG24+AG22</f>
        <v>0</v>
      </c>
      <c r="AH35" s="580" t="e">
        <f t="shared" si="102"/>
        <v>#DIV/0!</v>
      </c>
      <c r="AI35" s="620">
        <f>AI31+AI30+AI27+AI26+AI24+AI22</f>
        <v>56676.259999999995</v>
      </c>
      <c r="AJ35" s="620">
        <f>AJ31+AJ30+AJ27+AJ26+AJ24+AJ22</f>
        <v>0</v>
      </c>
      <c r="AK35" s="599" t="e">
        <f t="shared" si="103"/>
        <v>#DIV/0!</v>
      </c>
      <c r="AL35" s="587">
        <f>AL31+AL30+AL27+AL26+AL24+AL22</f>
        <v>-25300.37</v>
      </c>
      <c r="AM35" s="587">
        <f>AM31+AM30+AM27+AM26+AM24+AM22</f>
        <v>0</v>
      </c>
      <c r="AN35" s="580" t="e">
        <f t="shared" si="104"/>
        <v>#DIV/0!</v>
      </c>
      <c r="AO35" s="628">
        <f t="shared" si="41"/>
        <v>159825.71</v>
      </c>
      <c r="AP35" s="629">
        <f>AP31+AP30+AP27+AP26+AP24+AP22</f>
        <v>0</v>
      </c>
      <c r="AQ35" s="640" t="e">
        <f t="shared" si="106"/>
        <v>#DIV/0!</v>
      </c>
    </row>
    <row r="36" spans="1:43" ht="24" customHeight="1" thickTop="1" thickBot="1" x14ac:dyDescent="0.4">
      <c r="B36" s="1705" t="s">
        <v>43</v>
      </c>
      <c r="C36" s="1705"/>
      <c r="E36" s="607">
        <f>SUM(E37:E38)</f>
        <v>13306.72</v>
      </c>
      <c r="F36" s="607">
        <f>SUM(F37:F38)</f>
        <v>0</v>
      </c>
      <c r="G36" s="595" t="e">
        <f>1-(E36/F36)</f>
        <v>#DIV/0!</v>
      </c>
      <c r="H36" s="593">
        <f>SUM(H37:H38)</f>
        <v>13485.12</v>
      </c>
      <c r="I36" s="593">
        <f>SUM(I37:I38)</f>
        <v>0</v>
      </c>
      <c r="J36" s="592" t="e">
        <f>1-(H36/I36)</f>
        <v>#DIV/0!</v>
      </c>
      <c r="K36" s="607">
        <f>SUM(K37:K38)</f>
        <v>13485.12</v>
      </c>
      <c r="L36" s="607">
        <f>SUM(L37:L38)</f>
        <v>0</v>
      </c>
      <c r="M36" s="595" t="e">
        <f>1-(K36/L36)</f>
        <v>#DIV/0!</v>
      </c>
      <c r="N36" s="593">
        <f>SUM(N37:N38)</f>
        <v>13527.12</v>
      </c>
      <c r="O36" s="593">
        <f>SUM(O37:O38)</f>
        <v>0</v>
      </c>
      <c r="P36" s="592" t="e">
        <f>1-(N36/O36)</f>
        <v>#DIV/0!</v>
      </c>
      <c r="Q36" s="607">
        <f>SUM(Q37:Q38)</f>
        <v>13527.12</v>
      </c>
      <c r="R36" s="607">
        <f>SUM(R37:R38)</f>
        <v>0</v>
      </c>
      <c r="S36" s="595" t="e">
        <f>1-(Q36/R36)</f>
        <v>#DIV/0!</v>
      </c>
      <c r="T36" s="593">
        <f>SUM(T37:T38)</f>
        <v>13637.12</v>
      </c>
      <c r="U36" s="593">
        <f>SUM(U37:U38)</f>
        <v>0</v>
      </c>
      <c r="V36" s="592" t="e">
        <f>1-(T36/U36)</f>
        <v>#DIV/0!</v>
      </c>
      <c r="W36" s="607">
        <f>SUM(W37:W38)</f>
        <v>13637.12</v>
      </c>
      <c r="X36" s="607">
        <f>SUM(X37:X38)</f>
        <v>0</v>
      </c>
      <c r="Y36" s="595" t="e">
        <f>1-(W36/X36)</f>
        <v>#DIV/0!</v>
      </c>
      <c r="Z36" s="593">
        <f>SUM(Z37:Z38)</f>
        <v>6818.68</v>
      </c>
      <c r="AA36" s="593">
        <f>SUM(AA37:AA38)</f>
        <v>0</v>
      </c>
      <c r="AB36" s="592" t="e">
        <f>1-(Z36/AA36)</f>
        <v>#DIV/0!</v>
      </c>
      <c r="AC36" s="607">
        <f>SUM(AC37:AC38)</f>
        <v>13637.12</v>
      </c>
      <c r="AD36" s="607">
        <f>SUM(AD37:AD38)</f>
        <v>0</v>
      </c>
      <c r="AE36" s="595" t="e">
        <f>1-(AC36/AD36)</f>
        <v>#DIV/0!</v>
      </c>
      <c r="AF36" s="593">
        <f>SUM(AF37:AF38)</f>
        <v>13637.12</v>
      </c>
      <c r="AG36" s="593">
        <f>SUM(AG37:AG38)</f>
        <v>0</v>
      </c>
      <c r="AH36" s="592" t="e">
        <f>1-(AF36/AG36)</f>
        <v>#DIV/0!</v>
      </c>
      <c r="AI36" s="607">
        <f>SUM(AI37:AI38)</f>
        <v>13637.12</v>
      </c>
      <c r="AJ36" s="607">
        <f>SUM(AJ37:AJ38)</f>
        <v>0</v>
      </c>
      <c r="AK36" s="595" t="e">
        <f>1-(AI36/AJ36)</f>
        <v>#DIV/0!</v>
      </c>
      <c r="AL36" s="593">
        <f>SUM(AL37:AL38)</f>
        <v>6818.56</v>
      </c>
      <c r="AM36" s="593">
        <f>SUM(AM37:AM38)</f>
        <v>0</v>
      </c>
      <c r="AN36" s="592" t="e">
        <f>1-(AL36/AM36)</f>
        <v>#DIV/0!</v>
      </c>
      <c r="AO36" s="633">
        <f>SUM(AO37:AO38)</f>
        <v>149154.03999999998</v>
      </c>
      <c r="AP36" s="633">
        <f>SUM(AP37:AP38)</f>
        <v>0</v>
      </c>
      <c r="AQ36" s="636" t="e">
        <f>1-(AO36/AP36)</f>
        <v>#DIV/0!</v>
      </c>
    </row>
    <row r="37" spans="1:43" ht="24" customHeight="1" thickTop="1" thickBot="1" x14ac:dyDescent="0.3">
      <c r="A37" s="565">
        <v>680</v>
      </c>
      <c r="B37" s="1699" t="s">
        <v>622</v>
      </c>
      <c r="C37" s="1700"/>
      <c r="D37" s="1701"/>
      <c r="E37" s="618">
        <v>0</v>
      </c>
      <c r="F37" s="619"/>
      <c r="G37" s="596" t="e">
        <f>1-(E37/F37)</f>
        <v>#DIV/0!</v>
      </c>
      <c r="H37" s="585">
        <v>0</v>
      </c>
      <c r="I37" s="586"/>
      <c r="J37" s="576" t="e">
        <f>1-(H37/I37)</f>
        <v>#DIV/0!</v>
      </c>
      <c r="K37" s="618">
        <v>0</v>
      </c>
      <c r="L37" s="619"/>
      <c r="M37" s="596" t="e">
        <f>1-(K37/L37)</f>
        <v>#DIV/0!</v>
      </c>
      <c r="N37" s="585">
        <v>0</v>
      </c>
      <c r="O37" s="586"/>
      <c r="P37" s="574" t="e">
        <f>1-(N37/O37)</f>
        <v>#DIV/0!</v>
      </c>
      <c r="Q37" s="618">
        <v>0</v>
      </c>
      <c r="R37" s="619"/>
      <c r="S37" s="596" t="e">
        <f>1-(Q37/R37)</f>
        <v>#DIV/0!</v>
      </c>
      <c r="T37" s="585">
        <v>0</v>
      </c>
      <c r="U37" s="586"/>
      <c r="V37" s="574" t="e">
        <f>1-(T37/U37)</f>
        <v>#DIV/0!</v>
      </c>
      <c r="W37" s="618">
        <v>0</v>
      </c>
      <c r="X37" s="619"/>
      <c r="Y37" s="596" t="e">
        <f>1-(W37/X37)</f>
        <v>#DIV/0!</v>
      </c>
      <c r="Z37" s="585">
        <v>0</v>
      </c>
      <c r="AA37" s="586"/>
      <c r="AB37" s="574" t="e">
        <f>1-(Z37/AA37)</f>
        <v>#DIV/0!</v>
      </c>
      <c r="AC37" s="618">
        <v>0</v>
      </c>
      <c r="AD37" s="619"/>
      <c r="AE37" s="596" t="e">
        <f>1-(AC37/AD37)</f>
        <v>#DIV/0!</v>
      </c>
      <c r="AF37" s="585">
        <v>0</v>
      </c>
      <c r="AG37" s="586"/>
      <c r="AH37" s="574" t="e">
        <f>1-(AF37/AG37)</f>
        <v>#DIV/0!</v>
      </c>
      <c r="AI37" s="618">
        <v>0</v>
      </c>
      <c r="AJ37" s="619"/>
      <c r="AK37" s="596" t="e">
        <f>1-(AI37/AJ37)</f>
        <v>#DIV/0!</v>
      </c>
      <c r="AL37" s="585">
        <v>0</v>
      </c>
      <c r="AM37" s="586"/>
      <c r="AN37" s="574" t="e">
        <f>1-(AL37/AM37)</f>
        <v>#DIV/0!</v>
      </c>
      <c r="AO37" s="628">
        <f t="shared" si="41"/>
        <v>0</v>
      </c>
      <c r="AP37" s="629">
        <f>F37+I37+L37+O37+R37+U37+X37+AA37+AD37+AG37+AJ37+AM37</f>
        <v>0</v>
      </c>
      <c r="AQ37" s="637" t="e">
        <f>1-(AO37/AP37)</f>
        <v>#DIV/0!</v>
      </c>
    </row>
    <row r="38" spans="1:43" ht="24" customHeight="1" thickTop="1" thickBot="1" x14ac:dyDescent="0.3">
      <c r="A38" s="565">
        <v>681</v>
      </c>
      <c r="B38" s="1699" t="s">
        <v>623</v>
      </c>
      <c r="C38" s="1700"/>
      <c r="D38" s="1701"/>
      <c r="E38" s="604">
        <v>13306.72</v>
      </c>
      <c r="F38" s="606"/>
      <c r="G38" s="596" t="e">
        <f>1-(E38/F38)</f>
        <v>#DIV/0!</v>
      </c>
      <c r="H38" s="572">
        <v>13485.12</v>
      </c>
      <c r="I38" s="575"/>
      <c r="J38" s="574" t="e">
        <f>1-(H38/I38)</f>
        <v>#DIV/0!</v>
      </c>
      <c r="K38" s="604">
        <v>13485.12</v>
      </c>
      <c r="L38" s="606"/>
      <c r="M38" s="596" t="e">
        <f>1-(K38/L38)</f>
        <v>#DIV/0!</v>
      </c>
      <c r="N38" s="572">
        <v>13527.12</v>
      </c>
      <c r="O38" s="575"/>
      <c r="P38" s="574" t="e">
        <f>1-(N38/O38)</f>
        <v>#DIV/0!</v>
      </c>
      <c r="Q38" s="604">
        <v>13527.12</v>
      </c>
      <c r="R38" s="606"/>
      <c r="S38" s="596" t="e">
        <f>1-(Q38/R38)</f>
        <v>#DIV/0!</v>
      </c>
      <c r="T38" s="572">
        <v>13637.12</v>
      </c>
      <c r="U38" s="575"/>
      <c r="V38" s="574" t="e">
        <f>1-(T38/U38)</f>
        <v>#DIV/0!</v>
      </c>
      <c r="W38" s="604">
        <v>13637.12</v>
      </c>
      <c r="X38" s="606"/>
      <c r="Y38" s="596" t="e">
        <f>1-(W38/X38)</f>
        <v>#DIV/0!</v>
      </c>
      <c r="Z38" s="572">
        <v>6818.68</v>
      </c>
      <c r="AA38" s="575"/>
      <c r="AB38" s="574" t="e">
        <f>1-(Z38/AA38)</f>
        <v>#DIV/0!</v>
      </c>
      <c r="AC38" s="604">
        <v>13637.12</v>
      </c>
      <c r="AD38" s="606"/>
      <c r="AE38" s="596" t="e">
        <f>1-(AC38/AD38)</f>
        <v>#DIV/0!</v>
      </c>
      <c r="AF38" s="572">
        <v>13637.12</v>
      </c>
      <c r="AG38" s="575"/>
      <c r="AH38" s="574" t="e">
        <f>1-(AF38/AG38)</f>
        <v>#DIV/0!</v>
      </c>
      <c r="AI38" s="604">
        <v>13637.12</v>
      </c>
      <c r="AJ38" s="606"/>
      <c r="AK38" s="596" t="e">
        <f>1-(AI38/AJ38)</f>
        <v>#DIV/0!</v>
      </c>
      <c r="AL38" s="572">
        <v>6818.56</v>
      </c>
      <c r="AM38" s="575"/>
      <c r="AN38" s="574" t="e">
        <f>1-(AL38/AM38)</f>
        <v>#DIV/0!</v>
      </c>
      <c r="AO38" s="628">
        <f t="shared" si="41"/>
        <v>149154.03999999998</v>
      </c>
      <c r="AP38" s="629">
        <f>F38+I38+L38+O38+R38+U38+X38+AA38+AD38+AG38+AJ38+AM38</f>
        <v>0</v>
      </c>
      <c r="AQ38" s="637" t="e">
        <f>1-(AO38/AP38)</f>
        <v>#DIV/0!</v>
      </c>
    </row>
    <row r="39" spans="1:43" ht="24" customHeight="1" thickTop="1" thickBot="1" x14ac:dyDescent="0.4">
      <c r="B39" s="1705" t="s">
        <v>624</v>
      </c>
      <c r="C39" s="1705"/>
      <c r="E39" s="607">
        <f>SUM(E40)</f>
        <v>4199</v>
      </c>
      <c r="F39" s="607">
        <f>SUM(F40)</f>
        <v>0</v>
      </c>
      <c r="G39" s="595" t="e">
        <f>(E39/F39)-1</f>
        <v>#DIV/0!</v>
      </c>
      <c r="H39" s="593">
        <f t="shared" ref="H39:AG39" si="107">SUM(H40)</f>
        <v>4199</v>
      </c>
      <c r="I39" s="593">
        <f t="shared" si="107"/>
        <v>0</v>
      </c>
      <c r="J39" s="592" t="e">
        <f>(H39/I39)-1</f>
        <v>#DIV/0!</v>
      </c>
      <c r="K39" s="607">
        <f t="shared" si="107"/>
        <v>4199</v>
      </c>
      <c r="L39" s="607">
        <f t="shared" si="107"/>
        <v>0</v>
      </c>
      <c r="M39" s="595" t="e">
        <f>(K39/L39)-1</f>
        <v>#DIV/0!</v>
      </c>
      <c r="N39" s="593">
        <f t="shared" si="107"/>
        <v>4199</v>
      </c>
      <c r="O39" s="593">
        <f t="shared" si="107"/>
        <v>0</v>
      </c>
      <c r="P39" s="592" t="e">
        <f>(N39/O39)-1</f>
        <v>#DIV/0!</v>
      </c>
      <c r="Q39" s="607">
        <f t="shared" si="107"/>
        <v>4199</v>
      </c>
      <c r="R39" s="607">
        <f t="shared" si="107"/>
        <v>0</v>
      </c>
      <c r="S39" s="595" t="e">
        <f>(Q39/R39)-1</f>
        <v>#DIV/0!</v>
      </c>
      <c r="T39" s="593">
        <f t="shared" si="107"/>
        <v>4199</v>
      </c>
      <c r="U39" s="593">
        <f t="shared" ref="U39" si="108">SUM(U40)</f>
        <v>0</v>
      </c>
      <c r="V39" s="592" t="e">
        <f>(T39/U39)-1</f>
        <v>#DIV/0!</v>
      </c>
      <c r="W39" s="607">
        <f t="shared" si="107"/>
        <v>4199</v>
      </c>
      <c r="X39" s="607">
        <f>SUM(X40)</f>
        <v>0</v>
      </c>
      <c r="Y39" s="595" t="e">
        <f>(W39/X39)-1</f>
        <v>#DIV/0!</v>
      </c>
      <c r="Z39" s="593">
        <f t="shared" si="107"/>
        <v>2099.5</v>
      </c>
      <c r="AA39" s="593">
        <f t="shared" si="107"/>
        <v>0</v>
      </c>
      <c r="AB39" s="592" t="e">
        <f>(Z39/AA39)-1</f>
        <v>#DIV/0!</v>
      </c>
      <c r="AC39" s="607">
        <f t="shared" ref="AC39" si="109">SUM(AC40)</f>
        <v>4199</v>
      </c>
      <c r="AD39" s="607">
        <f t="shared" ref="AD39" si="110">SUM(AD40)</f>
        <v>0</v>
      </c>
      <c r="AE39" s="595" t="e">
        <f>(AC39/AD39)-1</f>
        <v>#DIV/0!</v>
      </c>
      <c r="AF39" s="593">
        <f t="shared" si="107"/>
        <v>4199</v>
      </c>
      <c r="AG39" s="593">
        <f t="shared" si="107"/>
        <v>0</v>
      </c>
      <c r="AH39" s="592" t="e">
        <f>(AF39/AG39)-1</f>
        <v>#DIV/0!</v>
      </c>
      <c r="AI39" s="626">
        <f t="shared" ref="AI39" si="111">SUM(AI40)</f>
        <v>4199</v>
      </c>
      <c r="AJ39" s="626">
        <f t="shared" ref="AJ39" si="112">SUM(AJ40)</f>
        <v>0</v>
      </c>
      <c r="AK39" s="625" t="e">
        <f>(AI39/AJ39)-1</f>
        <v>#DIV/0!</v>
      </c>
      <c r="AL39" s="593">
        <f t="shared" ref="AL39" si="113">SUM(AL40)</f>
        <v>2099.5</v>
      </c>
      <c r="AM39" s="593">
        <f t="shared" ref="AM39" si="114">SUM(AM40)</f>
        <v>0</v>
      </c>
      <c r="AN39" s="592" t="e">
        <f>(AL39/AM39)-1</f>
        <v>#DIV/0!</v>
      </c>
      <c r="AO39" s="633">
        <f>SUM(AO40)</f>
        <v>46189</v>
      </c>
      <c r="AP39" s="633">
        <f>SUM(AP40)</f>
        <v>0</v>
      </c>
      <c r="AQ39" s="641" t="e">
        <f>(AO39/AP39)-1</f>
        <v>#DIV/0!</v>
      </c>
    </row>
    <row r="40" spans="1:43" ht="24" customHeight="1" thickTop="1" thickBot="1" x14ac:dyDescent="0.3">
      <c r="A40" s="565">
        <v>746</v>
      </c>
      <c r="B40" s="1699" t="s">
        <v>625</v>
      </c>
      <c r="C40" s="1700"/>
      <c r="D40" s="1701"/>
      <c r="E40" s="618">
        <f>DATOS!C14</f>
        <v>4199</v>
      </c>
      <c r="F40" s="619"/>
      <c r="G40" s="596" t="e">
        <f>(E40/F40)-1</f>
        <v>#DIV/0!</v>
      </c>
      <c r="H40" s="585">
        <f>DATOS!E14</f>
        <v>4199</v>
      </c>
      <c r="I40" s="586"/>
      <c r="J40" s="574" t="e">
        <f>(H40/I40)-1</f>
        <v>#DIV/0!</v>
      </c>
      <c r="K40" s="618">
        <f>DATOS!G14</f>
        <v>4199</v>
      </c>
      <c r="L40" s="619"/>
      <c r="M40" s="596" t="e">
        <f>(K40/L40)-1</f>
        <v>#DIV/0!</v>
      </c>
      <c r="N40" s="585">
        <f>DATOS!I14</f>
        <v>4199</v>
      </c>
      <c r="O40" s="586"/>
      <c r="P40" s="574" t="e">
        <f>(N40/O40)-1</f>
        <v>#DIV/0!</v>
      </c>
      <c r="Q40" s="618">
        <f>DATOS!K14</f>
        <v>4199</v>
      </c>
      <c r="R40" s="619"/>
      <c r="S40" s="596" t="e">
        <f>(Q40/R40)-1</f>
        <v>#DIV/0!</v>
      </c>
      <c r="T40" s="586">
        <f>DATOS!M14</f>
        <v>4199</v>
      </c>
      <c r="U40" s="586"/>
      <c r="V40" s="574" t="e">
        <f>(T40/U40)-1</f>
        <v>#DIV/0!</v>
      </c>
      <c r="W40" s="618">
        <f>DATOS!O14</f>
        <v>4199</v>
      </c>
      <c r="X40" s="619"/>
      <c r="Y40" s="596" t="e">
        <f>(W40/X40)-1</f>
        <v>#DIV/0!</v>
      </c>
      <c r="Z40" s="585">
        <f>DATOS!Q14</f>
        <v>2099.5</v>
      </c>
      <c r="AA40" s="586"/>
      <c r="AB40" s="574" t="e">
        <f>(Z40/AA40)-1</f>
        <v>#DIV/0!</v>
      </c>
      <c r="AC40" s="618">
        <f>DATOS!S14</f>
        <v>4199</v>
      </c>
      <c r="AD40" s="619"/>
      <c r="AE40" s="596" t="e">
        <f>(AC40/AD40)-1</f>
        <v>#DIV/0!</v>
      </c>
      <c r="AF40" s="585">
        <f>DATOS!U14</f>
        <v>4199</v>
      </c>
      <c r="AG40" s="586"/>
      <c r="AH40" s="574" t="e">
        <f>(AF40/AG40)-1</f>
        <v>#DIV/0!</v>
      </c>
      <c r="AI40" s="618">
        <f>DATOS!W14</f>
        <v>4199</v>
      </c>
      <c r="AJ40" s="619"/>
      <c r="AK40" s="596" t="e">
        <f>(AI40/AJ40)-1</f>
        <v>#DIV/0!</v>
      </c>
      <c r="AL40" s="585">
        <f>DATOS!Y14</f>
        <v>2099.5</v>
      </c>
      <c r="AM40" s="586"/>
      <c r="AN40" s="574" t="e">
        <f>(AL40/AM40)-1</f>
        <v>#DIV/0!</v>
      </c>
      <c r="AO40" s="628">
        <f t="shared" si="41"/>
        <v>46189</v>
      </c>
      <c r="AP40" s="629">
        <f>F40+I40+L40+O40+R40+U40+X40+AA40+AD40+AG40+AJ40+AM40</f>
        <v>0</v>
      </c>
      <c r="AQ40" s="638" t="e">
        <f>(AO40/AP40)-1</f>
        <v>#DIV/0!</v>
      </c>
    </row>
    <row r="41" spans="1:43" ht="24" customHeight="1" thickTop="1" thickBot="1" x14ac:dyDescent="0.3">
      <c r="A41" s="565">
        <v>795</v>
      </c>
      <c r="B41" s="1699" t="s">
        <v>893</v>
      </c>
      <c r="C41" s="1700"/>
      <c r="D41" s="1701"/>
      <c r="E41" s="618">
        <v>0</v>
      </c>
      <c r="F41" s="619"/>
      <c r="G41" s="596"/>
      <c r="H41" s="585">
        <v>0</v>
      </c>
      <c r="I41" s="586"/>
      <c r="J41" s="574"/>
      <c r="K41" s="618">
        <v>0</v>
      </c>
      <c r="L41" s="619"/>
      <c r="M41" s="596"/>
      <c r="N41" s="585">
        <v>0</v>
      </c>
      <c r="O41" s="586"/>
      <c r="P41" s="574"/>
      <c r="Q41" s="618">
        <v>0</v>
      </c>
      <c r="R41" s="619"/>
      <c r="S41" s="596"/>
      <c r="T41" s="586">
        <v>0</v>
      </c>
      <c r="U41" s="586"/>
      <c r="V41" s="574"/>
      <c r="W41" s="618">
        <v>0</v>
      </c>
      <c r="X41" s="619"/>
      <c r="Y41" s="596"/>
      <c r="Z41" s="585">
        <v>0</v>
      </c>
      <c r="AA41" s="586"/>
      <c r="AB41" s="574"/>
      <c r="AC41" s="618">
        <v>0</v>
      </c>
      <c r="AD41" s="619"/>
      <c r="AE41" s="596"/>
      <c r="AF41" s="585">
        <v>0</v>
      </c>
      <c r="AG41" s="586"/>
      <c r="AH41" s="574"/>
      <c r="AI41" s="618">
        <v>0</v>
      </c>
      <c r="AJ41" s="619"/>
      <c r="AK41" s="596"/>
      <c r="AL41" s="585">
        <v>12701.62</v>
      </c>
      <c r="AM41" s="586"/>
      <c r="AN41" s="574"/>
      <c r="AO41" s="628">
        <f t="shared" si="41"/>
        <v>12701.62</v>
      </c>
      <c r="AP41" s="629"/>
      <c r="AQ41" s="638" t="e">
        <f>(AO41/AP41)-1</f>
        <v>#DIV/0!</v>
      </c>
    </row>
    <row r="42" spans="1:43" ht="24" customHeight="1" thickTop="1" thickBot="1" x14ac:dyDescent="0.4">
      <c r="B42" s="1709" t="s">
        <v>626</v>
      </c>
      <c r="C42" s="1710"/>
      <c r="D42" s="1711"/>
      <c r="E42" s="621">
        <f>E3-E7+E12-E16-E21-E36+E39</f>
        <v>63502.350000000006</v>
      </c>
      <c r="F42" s="621">
        <f>F3-F7+F12-F16-F21-F36+F39</f>
        <v>0</v>
      </c>
      <c r="G42" s="595" t="e">
        <f>(E42/F42)-1</f>
        <v>#DIV/0!</v>
      </c>
      <c r="H42" s="589">
        <f t="shared" ref="H42:AG42" si="115">H3-H7+H12-H16-H21-H36+H39</f>
        <v>8508.1699999999855</v>
      </c>
      <c r="I42" s="589">
        <f t="shared" si="115"/>
        <v>0</v>
      </c>
      <c r="J42" s="592" t="e">
        <f>(H42/I42)-1</f>
        <v>#DIV/0!</v>
      </c>
      <c r="K42" s="621">
        <f>K3-K7+K12-K16-K21-K36+K39</f>
        <v>73593.49000000002</v>
      </c>
      <c r="L42" s="621">
        <f t="shared" si="115"/>
        <v>0</v>
      </c>
      <c r="M42" s="595" t="e">
        <f>(K42/L42)-1</f>
        <v>#DIV/0!</v>
      </c>
      <c r="N42" s="589">
        <f>N3-N7+N12-N16-N21-N36+N39+N41</f>
        <v>-308.91000000000895</v>
      </c>
      <c r="O42" s="589">
        <f t="shared" ref="O42" si="116">O3-O7+O12-O16-O21-O36+O39</f>
        <v>0</v>
      </c>
      <c r="P42" s="592" t="e">
        <f>(N42/O42)-1</f>
        <v>#DIV/0!</v>
      </c>
      <c r="Q42" s="621">
        <f>Q3-Q7+Q12-Q16-Q21-Q36+Q39+Q41</f>
        <v>40454.599999999969</v>
      </c>
      <c r="R42" s="621">
        <f t="shared" si="115"/>
        <v>0</v>
      </c>
      <c r="S42" s="595" t="e">
        <f>(Q42/R42)-1</f>
        <v>#DIV/0!</v>
      </c>
      <c r="T42" s="589">
        <f t="shared" si="115"/>
        <v>96179.99000000002</v>
      </c>
      <c r="U42" s="589">
        <f t="shared" ref="U42" si="117">U3-U7+U12-U16-U21-U36+U39</f>
        <v>0</v>
      </c>
      <c r="V42" s="592" t="e">
        <f>(T42/U42)-1</f>
        <v>#DIV/0!</v>
      </c>
      <c r="W42" s="621">
        <f t="shared" si="115"/>
        <v>56401.529999999992</v>
      </c>
      <c r="X42" s="621">
        <f>X3-X7+X12-X16-X21-X36+X39</f>
        <v>0</v>
      </c>
      <c r="Y42" s="595" t="e">
        <f>(W42/X42)-1</f>
        <v>#DIV/0!</v>
      </c>
      <c r="Z42" s="589">
        <f t="shared" si="115"/>
        <v>-23030.369999999995</v>
      </c>
      <c r="AA42" s="589">
        <f t="shared" si="115"/>
        <v>0</v>
      </c>
      <c r="AB42" s="592" t="e">
        <f>(Z42/AA42)-1</f>
        <v>#DIV/0!</v>
      </c>
      <c r="AC42" s="621">
        <f t="shared" ref="AC42:AD42" si="118">AC3-AC7+AC12-AC16-AC21-AC36+AC39</f>
        <v>75653.99000000002</v>
      </c>
      <c r="AD42" s="621">
        <f t="shared" si="118"/>
        <v>0</v>
      </c>
      <c r="AE42" s="595" t="e">
        <f>(AC42/AD42)-1</f>
        <v>#DIV/0!</v>
      </c>
      <c r="AF42" s="589">
        <f t="shared" si="115"/>
        <v>76212.110000000015</v>
      </c>
      <c r="AG42" s="589">
        <f t="shared" si="115"/>
        <v>0</v>
      </c>
      <c r="AH42" s="592" t="e">
        <f>(AF42/AG42)-1</f>
        <v>#DIV/0!</v>
      </c>
      <c r="AI42" s="622">
        <f t="shared" ref="AI42:AJ42" si="119">AI3-AI7+AI12-AI16-AI21-AI36+AI39</f>
        <v>3837.3500000000295</v>
      </c>
      <c r="AJ42" s="622">
        <f t="shared" si="119"/>
        <v>0</v>
      </c>
      <c r="AK42" s="595" t="e">
        <f>(AI42/AJ42)-1</f>
        <v>#DIV/0!</v>
      </c>
      <c r="AL42" s="589">
        <f>AL3-AL7+AL12-AL16-AL21-AL36+AL39+AL41</f>
        <v>10554.020000000015</v>
      </c>
      <c r="AM42" s="589">
        <f t="shared" ref="AM42:AP42" si="120">AM3-AM7+AM12-AM16-AM21-AM36+AM39</f>
        <v>0</v>
      </c>
      <c r="AN42" s="592" t="e">
        <f>(AL42/AM42)-1</f>
        <v>#DIV/0!</v>
      </c>
      <c r="AO42" s="634">
        <f>AO3-AO7+AO12-AO16-AO21-AO36+AO39+AO41</f>
        <v>481558.32</v>
      </c>
      <c r="AP42" s="635">
        <f t="shared" si="120"/>
        <v>0</v>
      </c>
      <c r="AQ42" s="636" t="e">
        <f>(AO42/AP42)-1</f>
        <v>#DIV/0!</v>
      </c>
    </row>
    <row r="43" spans="1:43" ht="24" customHeight="1" thickTop="1" thickBot="1" x14ac:dyDescent="0.4">
      <c r="E43" s="743"/>
      <c r="F43" s="743"/>
      <c r="G43" s="758"/>
      <c r="H43" s="744"/>
      <c r="I43" s="744"/>
      <c r="J43" s="760"/>
      <c r="K43" s="743"/>
      <c r="L43" s="743"/>
      <c r="M43" s="758"/>
      <c r="N43" s="744"/>
      <c r="O43" s="744"/>
      <c r="P43" s="760"/>
      <c r="Q43" s="743"/>
      <c r="R43" s="743"/>
      <c r="S43" s="758"/>
      <c r="T43" s="744"/>
      <c r="U43" s="744"/>
      <c r="V43" s="760"/>
      <c r="W43" s="743"/>
      <c r="X43" s="743"/>
      <c r="Y43" s="758"/>
      <c r="Z43" s="744"/>
      <c r="AA43" s="744"/>
      <c r="AB43" s="760"/>
      <c r="AC43" s="743"/>
      <c r="AD43" s="743"/>
      <c r="AE43" s="595"/>
      <c r="AF43" s="744"/>
      <c r="AG43" s="744"/>
      <c r="AH43" s="592"/>
      <c r="AI43" s="745"/>
      <c r="AJ43" s="745"/>
      <c r="AK43" s="595"/>
      <c r="AL43" s="744"/>
      <c r="AM43" s="744"/>
      <c r="AN43" s="592"/>
      <c r="AO43" s="746"/>
      <c r="AP43" s="746"/>
      <c r="AQ43" s="636"/>
    </row>
    <row r="44" spans="1:43" ht="24" customHeight="1" thickTop="1" thickBot="1" x14ac:dyDescent="0.4">
      <c r="B44" s="1712" t="s">
        <v>334</v>
      </c>
      <c r="C44" s="1712"/>
      <c r="E44" s="621">
        <f>SUM(E45)</f>
        <v>562.46</v>
      </c>
      <c r="F44" s="621">
        <f>SUM(F45)</f>
        <v>0</v>
      </c>
      <c r="G44" s="759" t="e">
        <f>(E44/F44)-1</f>
        <v>#DIV/0!</v>
      </c>
      <c r="H44" s="761">
        <f t="shared" ref="H44:AG44" si="121">SUM(H45)</f>
        <v>344.99</v>
      </c>
      <c r="I44" s="761">
        <f t="shared" si="121"/>
        <v>0</v>
      </c>
      <c r="J44" s="748" t="e">
        <f>(H44/I44)-1</f>
        <v>#DIV/0!</v>
      </c>
      <c r="K44" s="621">
        <f t="shared" si="121"/>
        <v>38.57</v>
      </c>
      <c r="L44" s="621">
        <f t="shared" si="121"/>
        <v>0</v>
      </c>
      <c r="M44" s="759" t="e">
        <f>(K44/L44)-1</f>
        <v>#DIV/0!</v>
      </c>
      <c r="N44" s="761">
        <f t="shared" si="121"/>
        <v>73.010000000000005</v>
      </c>
      <c r="O44" s="761">
        <f t="shared" si="121"/>
        <v>0</v>
      </c>
      <c r="P44" s="748" t="e">
        <f>(N44/O44)-1</f>
        <v>#DIV/0!</v>
      </c>
      <c r="Q44" s="621">
        <f t="shared" si="121"/>
        <v>36.729999999999997</v>
      </c>
      <c r="R44" s="621">
        <f t="shared" si="121"/>
        <v>0</v>
      </c>
      <c r="S44" s="759" t="e">
        <f>(Q44/R44)-1</f>
        <v>#DIV/0!</v>
      </c>
      <c r="T44" s="761">
        <f t="shared" si="121"/>
        <v>25.07</v>
      </c>
      <c r="U44" s="761">
        <f t="shared" ref="U44" si="122">SUM(U45)</f>
        <v>0</v>
      </c>
      <c r="V44" s="748" t="e">
        <f>(T44/U44)-1</f>
        <v>#DIV/0!</v>
      </c>
      <c r="W44" s="621">
        <f t="shared" si="121"/>
        <v>1.31</v>
      </c>
      <c r="X44" s="621">
        <f>SUM(X45)</f>
        <v>0</v>
      </c>
      <c r="Y44" s="759" t="e">
        <f>(W44/X44)-1</f>
        <v>#DIV/0!</v>
      </c>
      <c r="Z44" s="761">
        <f t="shared" si="121"/>
        <v>5273.69</v>
      </c>
      <c r="AA44" s="761">
        <f t="shared" si="121"/>
        <v>0</v>
      </c>
      <c r="AB44" s="748" t="e">
        <f>(Z44/AA44)-1</f>
        <v>#DIV/0!</v>
      </c>
      <c r="AC44" s="621">
        <f t="shared" ref="AC44" si="123">SUM(AC45)</f>
        <v>0</v>
      </c>
      <c r="AD44" s="621">
        <f t="shared" ref="AD44" si="124">SUM(AD45)</f>
        <v>0</v>
      </c>
      <c r="AE44" s="595" t="e">
        <f>(AC44/AD44)-1</f>
        <v>#DIV/0!</v>
      </c>
      <c r="AF44" s="589">
        <f t="shared" si="121"/>
        <v>0</v>
      </c>
      <c r="AG44" s="589">
        <f t="shared" si="121"/>
        <v>0</v>
      </c>
      <c r="AH44" s="592" t="e">
        <f>(AF44/AG44)-1</f>
        <v>#DIV/0!</v>
      </c>
      <c r="AI44" s="993">
        <f t="shared" ref="AI44" si="125">SUM(AI45)</f>
        <v>0</v>
      </c>
      <c r="AJ44" s="993">
        <f t="shared" ref="AJ44" si="126">SUM(AJ45)</f>
        <v>0</v>
      </c>
      <c r="AK44" s="994" t="e">
        <f>(AI44/AJ44)-1</f>
        <v>#DIV/0!</v>
      </c>
      <c r="AL44" s="761">
        <f t="shared" ref="AL44" si="127">SUM(AL45)</f>
        <v>256.31</v>
      </c>
      <c r="AM44" s="992">
        <f t="shared" ref="AM44" si="128">SUM(AM45)</f>
        <v>0</v>
      </c>
      <c r="AN44" s="748" t="e">
        <f>(AL44/AM44)-1</f>
        <v>#DIV/0!</v>
      </c>
      <c r="AO44" s="749">
        <f>SUM(AO45)</f>
        <v>6612.14</v>
      </c>
      <c r="AP44" s="749">
        <f>SUM(AP45)</f>
        <v>0</v>
      </c>
      <c r="AQ44" s="642" t="e">
        <f>(AO44/AP44)-1</f>
        <v>#DIV/0!</v>
      </c>
    </row>
    <row r="45" spans="1:43" ht="24" customHeight="1" thickTop="1" thickBot="1" x14ac:dyDescent="0.3">
      <c r="A45" s="565">
        <v>769</v>
      </c>
      <c r="B45" s="1699" t="s">
        <v>627</v>
      </c>
      <c r="C45" s="1700"/>
      <c r="D45" s="1701"/>
      <c r="E45" s="618">
        <v>562.46</v>
      </c>
      <c r="F45" s="619"/>
      <c r="G45" s="596" t="e">
        <f>(E45/F45)-1</f>
        <v>#DIV/0!</v>
      </c>
      <c r="H45" s="585">
        <v>344.99</v>
      </c>
      <c r="I45" s="586"/>
      <c r="J45" s="574" t="e">
        <f>(H45/I45)-1</f>
        <v>#DIV/0!</v>
      </c>
      <c r="K45" s="618">
        <v>38.57</v>
      </c>
      <c r="L45" s="619"/>
      <c r="M45" s="596" t="e">
        <f>(K45/L45)-1</f>
        <v>#DIV/0!</v>
      </c>
      <c r="N45" s="585">
        <v>73.010000000000005</v>
      </c>
      <c r="O45" s="586"/>
      <c r="P45" s="574" t="e">
        <f>(N45/O45)-1</f>
        <v>#DIV/0!</v>
      </c>
      <c r="Q45" s="618">
        <v>36.729999999999997</v>
      </c>
      <c r="R45" s="619"/>
      <c r="S45" s="596" t="e">
        <f>(Q45/R45)-1</f>
        <v>#DIV/0!</v>
      </c>
      <c r="T45" s="586">
        <v>25.07</v>
      </c>
      <c r="U45" s="586"/>
      <c r="V45" s="574" t="e">
        <f>(T45/U45)-1</f>
        <v>#DIV/0!</v>
      </c>
      <c r="W45" s="618">
        <v>1.31</v>
      </c>
      <c r="X45" s="619"/>
      <c r="Y45" s="596" t="e">
        <f>(W45/X45)-1</f>
        <v>#DIV/0!</v>
      </c>
      <c r="Z45" s="585">
        <v>5273.69</v>
      </c>
      <c r="AA45" s="586"/>
      <c r="AB45" s="574" t="e">
        <f>(Z45/AA45)-1</f>
        <v>#DIV/0!</v>
      </c>
      <c r="AC45" s="618">
        <v>0</v>
      </c>
      <c r="AD45" s="619"/>
      <c r="AE45" s="596" t="e">
        <f>(AC45/AD45)-1</f>
        <v>#DIV/0!</v>
      </c>
      <c r="AF45" s="585">
        <v>0</v>
      </c>
      <c r="AG45" s="586"/>
      <c r="AH45" s="574" t="e">
        <f>(AF45/AG45)-1</f>
        <v>#DIV/0!</v>
      </c>
      <c r="AI45" s="618">
        <v>0</v>
      </c>
      <c r="AJ45" s="619"/>
      <c r="AK45" s="596" t="e">
        <f>(AI45/AJ45)-1</f>
        <v>#DIV/0!</v>
      </c>
      <c r="AL45" s="585">
        <v>256.31</v>
      </c>
      <c r="AM45" s="586"/>
      <c r="AN45" s="574" t="e">
        <f>(AL45/AM45)-1</f>
        <v>#DIV/0!</v>
      </c>
      <c r="AO45" s="628">
        <f t="shared" ref="AO45" si="129">$E45+$H45+$K45+$N45+$Q45+$T45+$W45+$Z45+$AC45+$AF45+$AI45+$AL45</f>
        <v>6612.14</v>
      </c>
      <c r="AP45" s="629">
        <f>F45+I45+L45+O45+R45+U45+X45+AA45+AD45+AG45+AJ45+AM45</f>
        <v>0</v>
      </c>
      <c r="AQ45" s="637" t="e">
        <f>(AO45/AP45)-1</f>
        <v>#DIV/0!</v>
      </c>
    </row>
    <row r="46" spans="1:43" ht="24" customHeight="1" thickTop="1" thickBot="1" x14ac:dyDescent="0.4">
      <c r="B46" s="1705" t="s">
        <v>628</v>
      </c>
      <c r="C46" s="1705"/>
      <c r="E46" s="607">
        <f>SUM(E47:E48)</f>
        <v>3341.58</v>
      </c>
      <c r="F46" s="607">
        <f>SUM(F47:F48)</f>
        <v>0</v>
      </c>
      <c r="G46" s="595" t="e">
        <f>1-(E46/F46)</f>
        <v>#DIV/0!</v>
      </c>
      <c r="H46" s="593">
        <f t="shared" ref="H46:AG46" si="130">SUM(H47:H48)</f>
        <v>3105.14</v>
      </c>
      <c r="I46" s="593">
        <f t="shared" si="130"/>
        <v>0</v>
      </c>
      <c r="J46" s="592" t="e">
        <f>1-(H46/I46)</f>
        <v>#DIV/0!</v>
      </c>
      <c r="K46" s="607">
        <f t="shared" si="130"/>
        <v>3058.61</v>
      </c>
      <c r="L46" s="607">
        <f t="shared" si="130"/>
        <v>0</v>
      </c>
      <c r="M46" s="595" t="e">
        <f>1-(K46/L46)</f>
        <v>#DIV/0!</v>
      </c>
      <c r="N46" s="593">
        <f t="shared" si="130"/>
        <v>3357.12</v>
      </c>
      <c r="O46" s="593">
        <f t="shared" si="130"/>
        <v>0</v>
      </c>
      <c r="P46" s="592" t="e">
        <f>1-(N46/O46)</f>
        <v>#DIV/0!</v>
      </c>
      <c r="Q46" s="607">
        <f t="shared" si="130"/>
        <v>3056.56</v>
      </c>
      <c r="R46" s="607">
        <f t="shared" si="130"/>
        <v>0</v>
      </c>
      <c r="S46" s="595" t="e">
        <f>1-(Q46/R46)</f>
        <v>#DIV/0!</v>
      </c>
      <c r="T46" s="593">
        <f t="shared" si="130"/>
        <v>3773.33</v>
      </c>
      <c r="U46" s="593">
        <f t="shared" ref="U46" si="131">SUM(U47:U48)</f>
        <v>0</v>
      </c>
      <c r="V46" s="592" t="e">
        <f>1-(T46/U46)</f>
        <v>#DIV/0!</v>
      </c>
      <c r="W46" s="607">
        <f t="shared" si="130"/>
        <v>3260.77</v>
      </c>
      <c r="X46" s="607">
        <f>SUM(X47:X48)</f>
        <v>0</v>
      </c>
      <c r="Y46" s="595" t="e">
        <f>1-(W46/X46)</f>
        <v>#DIV/0!</v>
      </c>
      <c r="Z46" s="593">
        <f t="shared" si="130"/>
        <v>3047.85</v>
      </c>
      <c r="AA46" s="593">
        <f t="shared" si="130"/>
        <v>0</v>
      </c>
      <c r="AB46" s="592" t="e">
        <f>1-(Z46/AA46)</f>
        <v>#DIV/0!</v>
      </c>
      <c r="AC46" s="607">
        <f t="shared" ref="AC46" si="132">SUM(AC47:AC48)</f>
        <v>3159.62</v>
      </c>
      <c r="AD46" s="607">
        <f t="shared" ref="AD46" si="133">SUM(AD47:AD48)</f>
        <v>0</v>
      </c>
      <c r="AE46" s="595" t="e">
        <f>1-(AC46/AD46)</f>
        <v>#DIV/0!</v>
      </c>
      <c r="AF46" s="593">
        <f t="shared" si="130"/>
        <v>3251.97</v>
      </c>
      <c r="AG46" s="593">
        <f t="shared" si="130"/>
        <v>0</v>
      </c>
      <c r="AH46" s="592" t="e">
        <f>1-(AF46/AG46)</f>
        <v>#DIV/0!</v>
      </c>
      <c r="AI46" s="626">
        <f t="shared" ref="AI46" si="134">SUM(AI47:AI48)</f>
        <v>3039</v>
      </c>
      <c r="AJ46" s="626">
        <f t="shared" ref="AJ46" si="135">SUM(AJ47:AJ48)</f>
        <v>0</v>
      </c>
      <c r="AK46" s="625" t="e">
        <f>1-(AI46/AJ46)</f>
        <v>#DIV/0!</v>
      </c>
      <c r="AL46" s="593">
        <f t="shared" ref="AL46" si="136">SUM(AL47:AL48)</f>
        <v>-1859.23</v>
      </c>
      <c r="AM46" s="593">
        <f t="shared" ref="AM46" si="137">SUM(AM47:AM48)</f>
        <v>0</v>
      </c>
      <c r="AN46" s="592" t="e">
        <f>1-(AL46/AM46)</f>
        <v>#DIV/0!</v>
      </c>
      <c r="AO46" s="633">
        <f>SUM(AO47:AO48)</f>
        <v>33592.32</v>
      </c>
      <c r="AP46" s="633">
        <f>SUM(AP47:AP48)</f>
        <v>0</v>
      </c>
      <c r="AQ46" s="636" t="e">
        <f>1-(AO46/AP46)</f>
        <v>#DIV/0!</v>
      </c>
    </row>
    <row r="47" spans="1:43" ht="24" customHeight="1" thickTop="1" thickBot="1" x14ac:dyDescent="0.3">
      <c r="A47" s="565">
        <v>662</v>
      </c>
      <c r="B47" s="1699" t="s">
        <v>629</v>
      </c>
      <c r="C47" s="1700"/>
      <c r="D47" s="1701"/>
      <c r="E47" s="618">
        <v>3026.58</v>
      </c>
      <c r="F47" s="619"/>
      <c r="G47" s="596" t="e">
        <f t="shared" ref="G47:G48" si="138">1-(E47/F47)</f>
        <v>#DIV/0!</v>
      </c>
      <c r="H47" s="585">
        <v>3105.14</v>
      </c>
      <c r="I47" s="586"/>
      <c r="J47" s="574" t="e">
        <f t="shared" ref="J47:J48" si="139">1-(H47/I47)</f>
        <v>#DIV/0!</v>
      </c>
      <c r="K47" s="618">
        <v>3023.61</v>
      </c>
      <c r="L47" s="619"/>
      <c r="M47" s="596" t="e">
        <f t="shared" ref="M47:M48" si="140">1-(K47/L47)</f>
        <v>#DIV/0!</v>
      </c>
      <c r="N47" s="585">
        <v>3059.43</v>
      </c>
      <c r="O47" s="586"/>
      <c r="P47" s="574" t="e">
        <f t="shared" ref="P47:P48" si="141">1-(N47/O47)</f>
        <v>#DIV/0!</v>
      </c>
      <c r="Q47" s="618">
        <v>3056.56</v>
      </c>
      <c r="R47" s="619"/>
      <c r="S47" s="596" t="e">
        <f t="shared" ref="S47:S48" si="142">1-(Q47/R47)</f>
        <v>#DIV/0!</v>
      </c>
      <c r="T47" s="585">
        <v>3721.02</v>
      </c>
      <c r="U47" s="586"/>
      <c r="V47" s="574" t="e">
        <f t="shared" ref="V47:V48" si="143">1-(T47/U47)</f>
        <v>#DIV/0!</v>
      </c>
      <c r="W47" s="618">
        <v>3050.77</v>
      </c>
      <c r="X47" s="619"/>
      <c r="Y47" s="596" t="e">
        <f t="shared" ref="Y47:Y48" si="144">1-(W47/X47)</f>
        <v>#DIV/0!</v>
      </c>
      <c r="Z47" s="585">
        <v>3047.85</v>
      </c>
      <c r="AA47" s="586"/>
      <c r="AB47" s="574" t="e">
        <f t="shared" ref="AB47:AB48" si="145">1-(Z47/AA47)</f>
        <v>#DIV/0!</v>
      </c>
      <c r="AC47" s="618">
        <v>3044.92</v>
      </c>
      <c r="AD47" s="619"/>
      <c r="AE47" s="596" t="e">
        <f t="shared" ref="AE47:AE48" si="146">1-(AC47/AD47)</f>
        <v>#DIV/0!</v>
      </c>
      <c r="AF47" s="585">
        <v>3041.97</v>
      </c>
      <c r="AG47" s="586"/>
      <c r="AH47" s="574" t="e">
        <f t="shared" ref="AH47:AH48" si="147">1-(AF47/AG47)</f>
        <v>#DIV/0!</v>
      </c>
      <c r="AI47" s="618">
        <v>3039</v>
      </c>
      <c r="AJ47" s="619"/>
      <c r="AK47" s="596" t="e">
        <f t="shared" ref="AK47:AK48" si="148">1-(AI47/AJ47)</f>
        <v>#DIV/0!</v>
      </c>
      <c r="AL47" s="585">
        <v>-1911.73</v>
      </c>
      <c r="AM47" s="586"/>
      <c r="AN47" s="574" t="e">
        <f t="shared" ref="AN47:AN48" si="149">1-(AL47/AM47)</f>
        <v>#DIV/0!</v>
      </c>
      <c r="AO47" s="628">
        <f t="shared" ref="AO47:AO51" si="150">$E47+$H47+$K47+$N47+$Q47+$T47+$W47+$Z47+$AC47+$AF47+$AI47+$AL47</f>
        <v>32305.119999999999</v>
      </c>
      <c r="AP47" s="629">
        <f>F47+I47+L47+O47+R47+U47+X47+AA47+AD47+AG47+AJ47+AM47</f>
        <v>0</v>
      </c>
      <c r="AQ47" s="637" t="e">
        <f t="shared" ref="AQ47:AQ48" si="151">1-(AO47/AP47)</f>
        <v>#DIV/0!</v>
      </c>
    </row>
    <row r="48" spans="1:43" ht="24" customHeight="1" thickTop="1" thickBot="1" x14ac:dyDescent="0.3">
      <c r="A48" s="565">
        <v>669</v>
      </c>
      <c r="B48" s="1699" t="s">
        <v>630</v>
      </c>
      <c r="C48" s="1700"/>
      <c r="D48" s="1701"/>
      <c r="E48" s="604">
        <v>315</v>
      </c>
      <c r="F48" s="606"/>
      <c r="G48" s="596" t="e">
        <f t="shared" si="138"/>
        <v>#DIV/0!</v>
      </c>
      <c r="H48" s="572">
        <v>0</v>
      </c>
      <c r="I48" s="575"/>
      <c r="J48" s="574" t="e">
        <f t="shared" si="139"/>
        <v>#DIV/0!</v>
      </c>
      <c r="K48" s="604">
        <v>35</v>
      </c>
      <c r="L48" s="606"/>
      <c r="M48" s="596" t="e">
        <f t="shared" si="140"/>
        <v>#DIV/0!</v>
      </c>
      <c r="N48" s="572">
        <v>297.69</v>
      </c>
      <c r="O48" s="575"/>
      <c r="P48" s="574" t="e">
        <f t="shared" si="141"/>
        <v>#DIV/0!</v>
      </c>
      <c r="Q48" s="604">
        <v>0</v>
      </c>
      <c r="R48" s="606"/>
      <c r="S48" s="596" t="e">
        <f t="shared" si="142"/>
        <v>#DIV/0!</v>
      </c>
      <c r="T48" s="572">
        <v>52.31</v>
      </c>
      <c r="U48" s="575"/>
      <c r="V48" s="574" t="e">
        <f t="shared" si="143"/>
        <v>#DIV/0!</v>
      </c>
      <c r="W48" s="604">
        <v>210</v>
      </c>
      <c r="X48" s="606"/>
      <c r="Y48" s="596" t="e">
        <f t="shared" si="144"/>
        <v>#DIV/0!</v>
      </c>
      <c r="Z48" s="572">
        <v>0</v>
      </c>
      <c r="AA48" s="575"/>
      <c r="AB48" s="574" t="e">
        <f t="shared" si="145"/>
        <v>#DIV/0!</v>
      </c>
      <c r="AC48" s="604">
        <v>114.7</v>
      </c>
      <c r="AD48" s="606"/>
      <c r="AE48" s="596" t="e">
        <f t="shared" si="146"/>
        <v>#DIV/0!</v>
      </c>
      <c r="AF48" s="572">
        <v>210</v>
      </c>
      <c r="AG48" s="575"/>
      <c r="AH48" s="574" t="e">
        <f t="shared" si="147"/>
        <v>#DIV/0!</v>
      </c>
      <c r="AI48" s="604">
        <v>0</v>
      </c>
      <c r="AJ48" s="606"/>
      <c r="AK48" s="596" t="e">
        <f t="shared" si="148"/>
        <v>#DIV/0!</v>
      </c>
      <c r="AL48" s="572">
        <v>52.5</v>
      </c>
      <c r="AM48" s="575"/>
      <c r="AN48" s="574" t="e">
        <f t="shared" si="149"/>
        <v>#DIV/0!</v>
      </c>
      <c r="AO48" s="628">
        <f t="shared" si="150"/>
        <v>1287.2</v>
      </c>
      <c r="AP48" s="629">
        <f>F48+I48+L48+O48+R48+U48+X48+AA48+AD48+AG48+AJ48+AM48</f>
        <v>0</v>
      </c>
      <c r="AQ48" s="637" t="e">
        <f t="shared" si="151"/>
        <v>#DIV/0!</v>
      </c>
    </row>
    <row r="49" spans="1:43" ht="24" customHeight="1" thickTop="1" thickBot="1" x14ac:dyDescent="0.4">
      <c r="B49" s="1705" t="s">
        <v>631</v>
      </c>
      <c r="C49" s="1705"/>
      <c r="E49" s="611">
        <f>SUM(E50)</f>
        <v>0</v>
      </c>
      <c r="F49" s="611">
        <f>SUM(F50)</f>
        <v>0</v>
      </c>
      <c r="G49" s="601" t="e">
        <f>1-(E49/F49)</f>
        <v>#DIV/0!</v>
      </c>
      <c r="H49" s="577">
        <f t="shared" ref="H49:AG49" si="152">SUM(H50)</f>
        <v>0</v>
      </c>
      <c r="I49" s="577">
        <f t="shared" si="152"/>
        <v>0</v>
      </c>
      <c r="J49" s="571" t="e">
        <f>1-(H49/I49)</f>
        <v>#DIV/0!</v>
      </c>
      <c r="K49" s="607">
        <f t="shared" si="152"/>
        <v>305.18</v>
      </c>
      <c r="L49" s="607">
        <f t="shared" si="152"/>
        <v>0</v>
      </c>
      <c r="M49" s="595" t="e">
        <f>1-(K49/L49)</f>
        <v>#DIV/0!</v>
      </c>
      <c r="N49" s="577">
        <f t="shared" si="152"/>
        <v>0</v>
      </c>
      <c r="O49" s="577">
        <f t="shared" si="152"/>
        <v>0</v>
      </c>
      <c r="P49" s="571" t="e">
        <f>1-(N49/O49)</f>
        <v>#DIV/0!</v>
      </c>
      <c r="Q49" s="607">
        <f t="shared" si="152"/>
        <v>250</v>
      </c>
      <c r="R49" s="607">
        <f t="shared" si="152"/>
        <v>0</v>
      </c>
      <c r="S49" s="595" t="e">
        <f>1-(Q49/R49)</f>
        <v>#DIV/0!</v>
      </c>
      <c r="T49" s="593">
        <f t="shared" si="152"/>
        <v>0</v>
      </c>
      <c r="U49" s="593">
        <f t="shared" ref="U49" si="153">SUM(U50)</f>
        <v>0</v>
      </c>
      <c r="V49" s="571" t="e">
        <f>1-(T49/U49)</f>
        <v>#DIV/0!</v>
      </c>
      <c r="W49" s="607">
        <f t="shared" si="152"/>
        <v>0</v>
      </c>
      <c r="X49" s="607">
        <f>SUM(X50)</f>
        <v>0</v>
      </c>
      <c r="Y49" s="595" t="e">
        <f>1-(W49/X49)</f>
        <v>#DIV/0!</v>
      </c>
      <c r="Z49" s="593">
        <f t="shared" si="152"/>
        <v>0</v>
      </c>
      <c r="AA49" s="593">
        <f t="shared" si="152"/>
        <v>0</v>
      </c>
      <c r="AB49" s="592" t="e">
        <f>1-(Z49/AA49)</f>
        <v>#DIV/0!</v>
      </c>
      <c r="AC49" s="611">
        <f t="shared" ref="AC49" si="154">SUM(AC50)</f>
        <v>0</v>
      </c>
      <c r="AD49" s="611">
        <f t="shared" ref="AD49" si="155">SUM(AD50)</f>
        <v>0</v>
      </c>
      <c r="AE49" s="601" t="e">
        <f>1-(AC49/AD49)</f>
        <v>#DIV/0!</v>
      </c>
      <c r="AF49" s="593">
        <f t="shared" si="152"/>
        <v>0.01</v>
      </c>
      <c r="AG49" s="593">
        <f t="shared" si="152"/>
        <v>0</v>
      </c>
      <c r="AH49" s="592" t="e">
        <f>1-(AF49/AG49)</f>
        <v>#DIV/0!</v>
      </c>
      <c r="AI49" s="626">
        <f t="shared" ref="AI49" si="156">SUM(AI50)</f>
        <v>0</v>
      </c>
      <c r="AJ49" s="626">
        <f t="shared" ref="AJ49" si="157">SUM(AJ50)</f>
        <v>0</v>
      </c>
      <c r="AK49" s="625" t="e">
        <f>1-(AI49/AJ49)</f>
        <v>#DIV/0!</v>
      </c>
      <c r="AL49" s="593">
        <f t="shared" ref="AL49" si="158">SUM(AL50)</f>
        <v>68.87</v>
      </c>
      <c r="AM49" s="593">
        <f t="shared" ref="AM49" si="159">SUM(AM50)</f>
        <v>0</v>
      </c>
      <c r="AN49" s="592" t="e">
        <f>1-(AL49/AM49)</f>
        <v>#DIV/0!</v>
      </c>
      <c r="AO49" s="633">
        <f>SUM(AO50)</f>
        <v>624.06000000000006</v>
      </c>
      <c r="AP49" s="633">
        <f>SUM(AP50)</f>
        <v>0</v>
      </c>
      <c r="AQ49" s="636" t="e">
        <f>1-(AO49/AP49)</f>
        <v>#DIV/0!</v>
      </c>
    </row>
    <row r="50" spans="1:43" ht="24" customHeight="1" thickTop="1" thickBot="1" x14ac:dyDescent="0.3">
      <c r="A50" s="565">
        <v>678</v>
      </c>
      <c r="B50" s="1699" t="s">
        <v>632</v>
      </c>
      <c r="C50" s="1700"/>
      <c r="D50" s="1701"/>
      <c r="E50" s="619">
        <v>0</v>
      </c>
      <c r="F50" s="619"/>
      <c r="G50" s="596" t="e">
        <f>1-(E50/F50)</f>
        <v>#DIV/0!</v>
      </c>
      <c r="H50" s="586">
        <v>0</v>
      </c>
      <c r="I50" s="586"/>
      <c r="J50" s="574" t="e">
        <f>1-(H50/I50)</f>
        <v>#DIV/0!</v>
      </c>
      <c r="K50" s="619">
        <v>305.18</v>
      </c>
      <c r="L50" s="619">
        <v>0</v>
      </c>
      <c r="M50" s="596" t="e">
        <f>1-(K50/L50)</f>
        <v>#DIV/0!</v>
      </c>
      <c r="N50" s="586">
        <v>0</v>
      </c>
      <c r="O50" s="586"/>
      <c r="P50" s="574" t="e">
        <f>1-(N50/O50)</f>
        <v>#DIV/0!</v>
      </c>
      <c r="Q50" s="619">
        <v>250</v>
      </c>
      <c r="R50" s="619"/>
      <c r="S50" s="596" t="e">
        <f>1-(Q50/R50)</f>
        <v>#DIV/0!</v>
      </c>
      <c r="T50" s="586">
        <v>0</v>
      </c>
      <c r="U50" s="586"/>
      <c r="V50" s="574" t="e">
        <f>1-(T50/U50)</f>
        <v>#DIV/0!</v>
      </c>
      <c r="W50" s="619">
        <v>0</v>
      </c>
      <c r="X50" s="619"/>
      <c r="Y50" s="596" t="e">
        <f>1-(W50/X50)</f>
        <v>#DIV/0!</v>
      </c>
      <c r="Z50" s="586">
        <v>0</v>
      </c>
      <c r="AA50" s="586"/>
      <c r="AB50" s="574" t="e">
        <f>1-(Z50/AA50)</f>
        <v>#DIV/0!</v>
      </c>
      <c r="AC50" s="619">
        <v>0</v>
      </c>
      <c r="AD50" s="619"/>
      <c r="AE50" s="596" t="e">
        <f>1-(AC50/AD50)</f>
        <v>#DIV/0!</v>
      </c>
      <c r="AF50" s="586">
        <v>0.01</v>
      </c>
      <c r="AG50" s="586"/>
      <c r="AH50" s="574" t="e">
        <f>1-(AF50/AG50)</f>
        <v>#DIV/0!</v>
      </c>
      <c r="AI50" s="619">
        <v>0</v>
      </c>
      <c r="AJ50" s="619"/>
      <c r="AK50" s="596" t="e">
        <f>1-(AI50/AJ50)</f>
        <v>#DIV/0!</v>
      </c>
      <c r="AL50" s="586">
        <v>68.87</v>
      </c>
      <c r="AM50" s="586"/>
      <c r="AN50" s="574" t="e">
        <f>1-(AL50/AM50)</f>
        <v>#DIV/0!</v>
      </c>
      <c r="AO50" s="628">
        <f t="shared" si="150"/>
        <v>624.06000000000006</v>
      </c>
      <c r="AP50" s="629">
        <f>F50+I50+L50+O50+R50+U50+X50+AA50+AD50+AG50+AJ50+AM50</f>
        <v>0</v>
      </c>
      <c r="AQ50" s="637" t="e">
        <f>1-(AO50/AP50)</f>
        <v>#DIV/0!</v>
      </c>
    </row>
    <row r="51" spans="1:43" ht="24" customHeight="1" thickTop="1" thickBot="1" x14ac:dyDescent="0.3">
      <c r="A51" s="565">
        <v>630</v>
      </c>
      <c r="B51" s="1699" t="s">
        <v>909</v>
      </c>
      <c r="C51" s="1700"/>
      <c r="D51" s="1701"/>
      <c r="E51" s="619">
        <v>0</v>
      </c>
      <c r="F51" s="619"/>
      <c r="G51" s="596" t="e">
        <f>1-(E51/F51)</f>
        <v>#DIV/0!</v>
      </c>
      <c r="H51" s="586">
        <v>0</v>
      </c>
      <c r="I51" s="586"/>
      <c r="J51" s="574" t="e">
        <f>1-(H51/I51)</f>
        <v>#DIV/0!</v>
      </c>
      <c r="K51" s="619">
        <v>0</v>
      </c>
      <c r="L51" s="619"/>
      <c r="M51" s="596" t="e">
        <f>1-(K51/L51)</f>
        <v>#DIV/0!</v>
      </c>
      <c r="N51" s="586">
        <v>0</v>
      </c>
      <c r="O51" s="586"/>
      <c r="P51" s="574" t="e">
        <f>1-(N51/O51)</f>
        <v>#DIV/0!</v>
      </c>
      <c r="Q51" s="619">
        <v>0</v>
      </c>
      <c r="R51" s="619"/>
      <c r="S51" s="596" t="e">
        <f>1-(Q51/R51)</f>
        <v>#DIV/0!</v>
      </c>
      <c r="T51" s="586"/>
      <c r="U51" s="586"/>
      <c r="V51" s="574" t="e">
        <f>1-(T51/U51)</f>
        <v>#DIV/0!</v>
      </c>
      <c r="W51" s="619"/>
      <c r="X51" s="619"/>
      <c r="Y51" s="596" t="e">
        <f>1-(W51/X51)</f>
        <v>#DIV/0!</v>
      </c>
      <c r="Z51" s="586"/>
      <c r="AA51" s="586"/>
      <c r="AB51" s="574" t="e">
        <f>1-(Z51/AA51)</f>
        <v>#DIV/0!</v>
      </c>
      <c r="AC51" s="619"/>
      <c r="AD51" s="619"/>
      <c r="AE51" s="596" t="e">
        <f>1-(AC51/AD51)</f>
        <v>#DIV/0!</v>
      </c>
      <c r="AF51" s="586"/>
      <c r="AG51" s="586"/>
      <c r="AH51" s="574" t="e">
        <f>1-(AF51/AG51)</f>
        <v>#DIV/0!</v>
      </c>
      <c r="AI51" s="619"/>
      <c r="AJ51" s="619"/>
      <c r="AK51" s="596" t="e">
        <f>1-(AI51/AJ51)</f>
        <v>#DIV/0!</v>
      </c>
      <c r="AL51" s="586">
        <v>272997.38</v>
      </c>
      <c r="AM51" s="586"/>
      <c r="AN51" s="574" t="e">
        <f>1-(AL51/AM51)</f>
        <v>#DIV/0!</v>
      </c>
      <c r="AO51" s="628">
        <f t="shared" si="150"/>
        <v>272997.38</v>
      </c>
      <c r="AP51" s="629">
        <f>F51+I51+L51+O51+R51+U51+X51+AA51+AD51+AG51+AJ51+AM51</f>
        <v>0</v>
      </c>
      <c r="AQ51" s="637" t="e">
        <f>1-(AO51/AP51)</f>
        <v>#DIV/0!</v>
      </c>
    </row>
    <row r="52" spans="1:43" ht="24" customHeight="1" thickTop="1" thickBot="1" x14ac:dyDescent="0.3">
      <c r="E52" s="600"/>
      <c r="F52" s="600"/>
      <c r="G52" s="600"/>
      <c r="H52" s="588"/>
      <c r="I52" s="588"/>
      <c r="J52" s="588"/>
      <c r="K52" s="600"/>
      <c r="L52" s="600"/>
      <c r="M52" s="600"/>
      <c r="N52" s="588"/>
      <c r="O52" s="588"/>
      <c r="P52" s="588"/>
      <c r="Q52" s="600"/>
      <c r="R52" s="600"/>
      <c r="S52" s="600"/>
      <c r="T52" s="588"/>
      <c r="U52" s="588"/>
      <c r="V52" s="588"/>
      <c r="W52" s="600"/>
      <c r="X52" s="600"/>
      <c r="Y52" s="600"/>
      <c r="Z52" s="588"/>
      <c r="AA52" s="588"/>
      <c r="AB52" s="588"/>
      <c r="AC52" s="600"/>
      <c r="AD52" s="600"/>
      <c r="AE52" s="600"/>
      <c r="AF52" s="588"/>
      <c r="AG52" s="588"/>
      <c r="AH52" s="588"/>
      <c r="AI52" s="600"/>
      <c r="AJ52" s="600"/>
      <c r="AK52" s="600"/>
      <c r="AL52" s="588"/>
      <c r="AM52" s="588"/>
      <c r="AN52" s="588"/>
      <c r="AO52" s="630"/>
      <c r="AP52" s="630"/>
      <c r="AQ52" s="631"/>
    </row>
    <row r="53" spans="1:43" ht="24" customHeight="1" thickTop="1" thickBot="1" x14ac:dyDescent="0.4">
      <c r="B53" s="1706" t="s">
        <v>633</v>
      </c>
      <c r="C53" s="1707"/>
      <c r="D53" s="1708"/>
      <c r="E53" s="621">
        <f>E44-E46-E49</f>
        <v>-2779.12</v>
      </c>
      <c r="F53" s="621">
        <f>F44-F46-F49</f>
        <v>0</v>
      </c>
      <c r="G53" s="601" t="e">
        <f>1-(E53/F53)</f>
        <v>#DIV/0!</v>
      </c>
      <c r="H53" s="589">
        <f>H44-H46-H49</f>
        <v>-2760.1499999999996</v>
      </c>
      <c r="I53" s="589">
        <f t="shared" ref="I53:AG53" si="160">I44-I46-I49</f>
        <v>0</v>
      </c>
      <c r="J53" s="571" t="e">
        <f>1-(H53/I53)</f>
        <v>#DIV/0!</v>
      </c>
      <c r="K53" s="621">
        <f>K44-K46-K49</f>
        <v>-3325.22</v>
      </c>
      <c r="L53" s="621">
        <f t="shared" si="160"/>
        <v>0</v>
      </c>
      <c r="M53" s="601" t="e">
        <f>1-(K53/L53)</f>
        <v>#DIV/0!</v>
      </c>
      <c r="N53" s="589">
        <f t="shared" si="160"/>
        <v>-3284.1099999999997</v>
      </c>
      <c r="O53" s="589">
        <f t="shared" ref="O53" si="161">O44-O46-O49</f>
        <v>0</v>
      </c>
      <c r="P53" s="571" t="e">
        <f>1-(N53/O53)</f>
        <v>#DIV/0!</v>
      </c>
      <c r="Q53" s="621">
        <f t="shared" si="160"/>
        <v>-3269.83</v>
      </c>
      <c r="R53" s="621">
        <f t="shared" si="160"/>
        <v>0</v>
      </c>
      <c r="S53" s="601" t="e">
        <f>1-(Q53/R53)</f>
        <v>#DIV/0!</v>
      </c>
      <c r="T53" s="589">
        <f t="shared" si="160"/>
        <v>-3748.2599999999998</v>
      </c>
      <c r="U53" s="589">
        <f t="shared" ref="U53" si="162">U44-U46-U49</f>
        <v>0</v>
      </c>
      <c r="V53" s="571" t="e">
        <f>1-(T53/U53)</f>
        <v>#DIV/0!</v>
      </c>
      <c r="W53" s="621">
        <f t="shared" si="160"/>
        <v>-3259.46</v>
      </c>
      <c r="X53" s="621">
        <f>X44-X46-X49</f>
        <v>0</v>
      </c>
      <c r="Y53" s="601" t="e">
        <f>1-(W53/X53)</f>
        <v>#DIV/0!</v>
      </c>
      <c r="Z53" s="589">
        <f t="shared" si="160"/>
        <v>2225.8399999999997</v>
      </c>
      <c r="AA53" s="589">
        <f t="shared" si="160"/>
        <v>0</v>
      </c>
      <c r="AB53" s="571" t="e">
        <f>1-(Z53/AA53)</f>
        <v>#DIV/0!</v>
      </c>
      <c r="AC53" s="621">
        <f t="shared" ref="AC53:AD53" si="163">AC44-AC46-AC49</f>
        <v>-3159.62</v>
      </c>
      <c r="AD53" s="621">
        <f t="shared" si="163"/>
        <v>0</v>
      </c>
      <c r="AE53" s="601" t="e">
        <f>1-(AC53/AD53)</f>
        <v>#DIV/0!</v>
      </c>
      <c r="AF53" s="589">
        <f t="shared" si="160"/>
        <v>-3251.98</v>
      </c>
      <c r="AG53" s="589">
        <f t="shared" si="160"/>
        <v>0</v>
      </c>
      <c r="AH53" s="571" t="e">
        <f>1-(AF53/AG53)</f>
        <v>#DIV/0!</v>
      </c>
      <c r="AI53" s="622">
        <f t="shared" ref="AI53:AJ53" si="164">AI44-AI46-AI49</f>
        <v>-3039</v>
      </c>
      <c r="AJ53" s="622">
        <f t="shared" si="164"/>
        <v>0</v>
      </c>
      <c r="AK53" s="601" t="e">
        <f>1-(AI53/AJ53)</f>
        <v>#DIV/0!</v>
      </c>
      <c r="AL53" s="589">
        <f t="shared" ref="AL53:AP53" si="165">AL44-AL46-AL49</f>
        <v>2046.67</v>
      </c>
      <c r="AM53" s="589">
        <f t="shared" si="165"/>
        <v>0</v>
      </c>
      <c r="AN53" s="571" t="e">
        <f>1-(AL53/AM53)</f>
        <v>#DIV/0!</v>
      </c>
      <c r="AO53" s="632">
        <f t="shared" si="165"/>
        <v>-27604.240000000002</v>
      </c>
      <c r="AP53" s="632">
        <f t="shared" si="165"/>
        <v>0</v>
      </c>
      <c r="AQ53" s="643" t="e">
        <f>1-(AO53/AP53)</f>
        <v>#DIV/0!</v>
      </c>
    </row>
    <row r="54" spans="1:43" ht="24" customHeight="1" thickTop="1" thickBot="1" x14ac:dyDescent="0.3">
      <c r="E54" s="600"/>
      <c r="F54" s="600"/>
      <c r="G54" s="600"/>
      <c r="H54" s="588"/>
      <c r="I54" s="588"/>
      <c r="J54" s="588"/>
      <c r="K54" s="600"/>
      <c r="L54" s="600"/>
      <c r="M54" s="600"/>
      <c r="N54" s="588"/>
      <c r="O54" s="588"/>
      <c r="P54" s="588"/>
      <c r="Q54" s="600"/>
      <c r="R54" s="600"/>
      <c r="S54" s="600"/>
      <c r="T54" s="588"/>
      <c r="U54" s="588"/>
      <c r="V54" s="588"/>
      <c r="W54" s="600"/>
      <c r="X54" s="600"/>
      <c r="Y54" s="600"/>
      <c r="Z54" s="588"/>
      <c r="AA54" s="588"/>
      <c r="AB54" s="588"/>
      <c r="AC54" s="600"/>
      <c r="AD54" s="600"/>
      <c r="AE54" s="600"/>
      <c r="AF54" s="588"/>
      <c r="AG54" s="588"/>
      <c r="AH54" s="588"/>
      <c r="AI54" s="600"/>
      <c r="AJ54" s="600"/>
      <c r="AK54" s="600"/>
      <c r="AL54" s="588"/>
      <c r="AM54" s="588"/>
      <c r="AN54" s="588"/>
      <c r="AO54" s="630"/>
      <c r="AP54" s="630"/>
      <c r="AQ54" s="631"/>
    </row>
    <row r="55" spans="1:43" ht="24" customHeight="1" thickTop="1" thickBot="1" x14ac:dyDescent="0.4">
      <c r="B55" s="1702" t="s">
        <v>283</v>
      </c>
      <c r="C55" s="1703"/>
      <c r="D55" s="1704"/>
      <c r="E55" s="1054">
        <f>E42+E53</f>
        <v>60723.23</v>
      </c>
      <c r="F55" s="621">
        <f>F42+F53</f>
        <v>0</v>
      </c>
      <c r="G55" s="595" t="e">
        <f>(E55/F55)-1</f>
        <v>#DIV/0!</v>
      </c>
      <c r="H55" s="1055">
        <f t="shared" ref="H55:AG55" si="166">H42+H53</f>
        <v>5748.0199999999859</v>
      </c>
      <c r="I55" s="589">
        <f t="shared" si="166"/>
        <v>0</v>
      </c>
      <c r="J55" s="592" t="e">
        <f>(H55/I55)-1</f>
        <v>#DIV/0!</v>
      </c>
      <c r="K55" s="1054">
        <f t="shared" si="166"/>
        <v>70268.270000000019</v>
      </c>
      <c r="L55" s="621">
        <f t="shared" si="166"/>
        <v>0</v>
      </c>
      <c r="M55" s="595" t="e">
        <f>(K55/L55)-1</f>
        <v>#DIV/0!</v>
      </c>
      <c r="N55" s="1055">
        <f t="shared" si="166"/>
        <v>-3593.0200000000086</v>
      </c>
      <c r="O55" s="589">
        <f t="shared" ref="O55" si="167">O42+O53</f>
        <v>0</v>
      </c>
      <c r="P55" s="592" t="e">
        <f>(N55/O55)-1</f>
        <v>#DIV/0!</v>
      </c>
      <c r="Q55" s="1054">
        <f t="shared" si="166"/>
        <v>37184.769999999968</v>
      </c>
      <c r="R55" s="621">
        <f t="shared" si="166"/>
        <v>0</v>
      </c>
      <c r="S55" s="595" t="e">
        <f>(Q55/R55)-1</f>
        <v>#DIV/0!</v>
      </c>
      <c r="T55" s="589">
        <f t="shared" si="166"/>
        <v>92431.730000000025</v>
      </c>
      <c r="U55" s="589">
        <f t="shared" ref="U55" si="168">U42+U53</f>
        <v>0</v>
      </c>
      <c r="V55" s="592" t="e">
        <f>(T55/U55)-1</f>
        <v>#DIV/0!</v>
      </c>
      <c r="W55" s="621">
        <f t="shared" si="166"/>
        <v>53142.069999999992</v>
      </c>
      <c r="X55" s="621">
        <f>X42+X53</f>
        <v>0</v>
      </c>
      <c r="Y55" s="595" t="e">
        <f>(W55/X55)-1</f>
        <v>#DIV/0!</v>
      </c>
      <c r="Z55" s="589">
        <f t="shared" si="166"/>
        <v>-20804.529999999995</v>
      </c>
      <c r="AA55" s="589">
        <f t="shared" si="166"/>
        <v>0</v>
      </c>
      <c r="AB55" s="592" t="e">
        <f>(Z55/AA55)-1</f>
        <v>#DIV/0!</v>
      </c>
      <c r="AC55" s="621">
        <f t="shared" ref="AC55:AD55" si="169">AC42+AC53</f>
        <v>72494.370000000024</v>
      </c>
      <c r="AD55" s="621">
        <f t="shared" si="169"/>
        <v>0</v>
      </c>
      <c r="AE55" s="595" t="e">
        <f>(AC55/AD55)-1</f>
        <v>#DIV/0!</v>
      </c>
      <c r="AF55" s="589">
        <f t="shared" si="166"/>
        <v>72960.130000000019</v>
      </c>
      <c r="AG55" s="589">
        <f t="shared" si="166"/>
        <v>0</v>
      </c>
      <c r="AH55" s="592" t="e">
        <f>(AF55/AG55)-1</f>
        <v>#DIV/0!</v>
      </c>
      <c r="AI55" s="622">
        <f t="shared" ref="AI55:AJ55" si="170">AI42+AI53</f>
        <v>798.35000000002947</v>
      </c>
      <c r="AJ55" s="622">
        <f t="shared" si="170"/>
        <v>0</v>
      </c>
      <c r="AK55" s="595" t="e">
        <f>(AI55/AJ55)-1</f>
        <v>#DIV/0!</v>
      </c>
      <c r="AL55" s="589">
        <f t="shared" ref="AL55:AP55" si="171">AL42+AL53</f>
        <v>12600.690000000015</v>
      </c>
      <c r="AM55" s="589">
        <f t="shared" si="171"/>
        <v>0</v>
      </c>
      <c r="AN55" s="592" t="e">
        <f>(AL55/AM55)-1</f>
        <v>#DIV/0!</v>
      </c>
      <c r="AO55" s="632">
        <f t="shared" si="171"/>
        <v>453954.08</v>
      </c>
      <c r="AP55" s="632">
        <f t="shared" si="171"/>
        <v>0</v>
      </c>
      <c r="AQ55" s="636" t="e">
        <f>(AO55/AP55)-1</f>
        <v>#DIV/0!</v>
      </c>
    </row>
    <row r="56" spans="1:43" ht="24" customHeight="1" thickTop="1" thickBot="1" x14ac:dyDescent="0.4">
      <c r="B56" s="1702" t="s">
        <v>910</v>
      </c>
      <c r="C56" s="1703"/>
      <c r="D56" s="1704"/>
      <c r="E56" s="1054">
        <f>E55-E51</f>
        <v>60723.23</v>
      </c>
      <c r="F56" s="621"/>
      <c r="G56" s="595"/>
      <c r="H56" s="1055">
        <f>H55-H51</f>
        <v>5748.0199999999859</v>
      </c>
      <c r="I56" s="589"/>
      <c r="J56" s="592"/>
      <c r="K56" s="1054">
        <f>K55-K51</f>
        <v>70268.270000000019</v>
      </c>
      <c r="L56" s="621"/>
      <c r="M56" s="595"/>
      <c r="N56" s="1055">
        <f>N55-N51</f>
        <v>-3593.0200000000086</v>
      </c>
      <c r="O56" s="589"/>
      <c r="P56" s="592"/>
      <c r="Q56" s="1054">
        <f>Q55-Q51</f>
        <v>37184.769999999968</v>
      </c>
      <c r="R56" s="621"/>
      <c r="S56" s="595"/>
      <c r="T56" s="589">
        <f>T55-T51</f>
        <v>92431.730000000025</v>
      </c>
      <c r="U56" s="589"/>
      <c r="V56" s="592"/>
      <c r="W56" s="621">
        <f>W55-W51</f>
        <v>53142.069999999992</v>
      </c>
      <c r="X56" s="621"/>
      <c r="Y56" s="595"/>
      <c r="Z56" s="589">
        <f>Z55-Z51</f>
        <v>-20804.529999999995</v>
      </c>
      <c r="AA56" s="589"/>
      <c r="AB56" s="592"/>
      <c r="AC56" s="621">
        <f>AC55-AC51</f>
        <v>72494.370000000024</v>
      </c>
      <c r="AD56" s="621"/>
      <c r="AE56" s="595"/>
      <c r="AF56" s="589">
        <f>AF55-AF51</f>
        <v>72960.130000000019</v>
      </c>
      <c r="AG56" s="589"/>
      <c r="AH56" s="592"/>
      <c r="AI56" s="622">
        <f>AI55-AI51</f>
        <v>798.35000000002947</v>
      </c>
      <c r="AJ56" s="622"/>
      <c r="AK56" s="595"/>
      <c r="AL56" s="589">
        <f>AL55-AL51</f>
        <v>-260396.69</v>
      </c>
      <c r="AM56" s="589"/>
      <c r="AN56" s="592"/>
      <c r="AO56" s="1298">
        <f>AO55-AO51</f>
        <v>180956.7</v>
      </c>
      <c r="AP56" s="632"/>
      <c r="AQ56" s="636"/>
    </row>
    <row r="57" spans="1:43" ht="24" customHeight="1" thickTop="1" x14ac:dyDescent="0.25">
      <c r="G57" s="568"/>
    </row>
  </sheetData>
  <mergeCells count="66">
    <mergeCell ref="AO1:AQ1"/>
    <mergeCell ref="Q1:S1"/>
    <mergeCell ref="T1:V1"/>
    <mergeCell ref="W1:Y1"/>
    <mergeCell ref="Z1:AB1"/>
    <mergeCell ref="AC1:AE1"/>
    <mergeCell ref="AF1:AH1"/>
    <mergeCell ref="AI1:AK1"/>
    <mergeCell ref="AL1:AN1"/>
    <mergeCell ref="B1:D1"/>
    <mergeCell ref="H1:J1"/>
    <mergeCell ref="K1:M1"/>
    <mergeCell ref="N1:P1"/>
    <mergeCell ref="B2:D2"/>
    <mergeCell ref="E1:G1"/>
    <mergeCell ref="B3:D3"/>
    <mergeCell ref="B4:D4"/>
    <mergeCell ref="B5:D5"/>
    <mergeCell ref="B6:D6"/>
    <mergeCell ref="B7:C7"/>
    <mergeCell ref="B8:D8"/>
    <mergeCell ref="B9:D9"/>
    <mergeCell ref="B10:D10"/>
    <mergeCell ref="B12:D12"/>
    <mergeCell ref="B14:D14"/>
    <mergeCell ref="B11:D11"/>
    <mergeCell ref="B13:D13"/>
    <mergeCell ref="B15:D15"/>
    <mergeCell ref="B16:C16"/>
    <mergeCell ref="B17:D17"/>
    <mergeCell ref="B19:D19"/>
    <mergeCell ref="B20:D20"/>
    <mergeCell ref="B18:D18"/>
    <mergeCell ref="B22:D22"/>
    <mergeCell ref="B23:D23"/>
    <mergeCell ref="B24:D24"/>
    <mergeCell ref="B25:D25"/>
    <mergeCell ref="B21:D21"/>
    <mergeCell ref="B48:D48"/>
    <mergeCell ref="B37:D37"/>
    <mergeCell ref="B38:D38"/>
    <mergeCell ref="B39:C39"/>
    <mergeCell ref="B40:D40"/>
    <mergeCell ref="B42:D42"/>
    <mergeCell ref="B41:D41"/>
    <mergeCell ref="B44:C44"/>
    <mergeCell ref="B45:D45"/>
    <mergeCell ref="B46:C46"/>
    <mergeCell ref="B47:D47"/>
    <mergeCell ref="B26:D26"/>
    <mergeCell ref="B27:D27"/>
    <mergeCell ref="B28:D28"/>
    <mergeCell ref="B29:D29"/>
    <mergeCell ref="B30:D30"/>
    <mergeCell ref="B31:D31"/>
    <mergeCell ref="B35:D35"/>
    <mergeCell ref="B36:C36"/>
    <mergeCell ref="B34:D34"/>
    <mergeCell ref="B32:D32"/>
    <mergeCell ref="B33:D33"/>
    <mergeCell ref="B51:D51"/>
    <mergeCell ref="B56:D56"/>
    <mergeCell ref="B49:C49"/>
    <mergeCell ref="B50:D50"/>
    <mergeCell ref="B53:D53"/>
    <mergeCell ref="B55:D55"/>
  </mergeCells>
  <pageMargins left="0.7" right="0.7" top="0.75" bottom="0.75" header="0.3" footer="0.3"/>
  <pageSetup paperSize="9" orientation="portrait" r:id="rId1"/>
  <ignoredErrors>
    <ignoredError sqref="G55 G7 AE7 AH7 AB7 AH16 AN16:AP16 AN7 J7 M7 G21 G35:G36 G16 J16 G46 G44 G39 G53 M3 M16 M21 M35:M36 M39 M44 M46 M53 M55 P3 P7 P21 P35:P36 P39 P44 P46 P48 P53 P55 J3 G3 J39 J44 J46 J48 J53 J55 J35:J36 S16 S7 S3 S21 S35:S36 S39 S46 S55 S53 J42 P42 G42 AP7" formula="1"/>
    <ignoredError sqref="AQ12 G12:G15 J13:J15 G50 G47 M13:M15 P12:P15 P50 J50 S13:S15 S50 S47" evalError="1"/>
    <ignoredError sqref="AE12 AH12 AH13:AH15 J12 AN12:AP12 G49 M12 M49:M50 P16 P47 P49 J47 J49 S49 S12" evalError="1" 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AQ54"/>
  <sheetViews>
    <sheetView workbookViewId="0">
      <pane xSplit="4" ySplit="1" topLeftCell="AJ38" activePane="bottomRight" state="frozen"/>
      <selection pane="topRight" activeCell="E1" sqref="E1"/>
      <selection pane="bottomLeft" activeCell="A2" sqref="A2"/>
      <selection pane="bottomRight" activeCell="AC47" sqref="AC47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41" max="41" width="18.28515625" customWidth="1"/>
    <col min="42" max="42" width="18.85546875" customWidth="1"/>
    <col min="43" max="43" width="16.85546875" customWidth="1"/>
  </cols>
  <sheetData>
    <row r="1" spans="1:43" ht="24" customHeight="1" thickTop="1" thickBot="1" x14ac:dyDescent="0.3">
      <c r="B1" s="1721" t="s">
        <v>836</v>
      </c>
      <c r="C1" s="1721"/>
      <c r="D1" s="1721"/>
      <c r="E1" s="1722" t="s">
        <v>0</v>
      </c>
      <c r="F1" s="1726"/>
      <c r="G1" s="1727"/>
      <c r="H1" s="1722" t="s">
        <v>1</v>
      </c>
      <c r="I1" s="1723"/>
      <c r="J1" s="1724"/>
      <c r="K1" s="1722" t="s">
        <v>2</v>
      </c>
      <c r="L1" s="1723"/>
      <c r="M1" s="1724"/>
      <c r="N1" s="1722" t="s">
        <v>3</v>
      </c>
      <c r="O1" s="1723"/>
      <c r="P1" s="1724"/>
      <c r="Q1" s="1722" t="s">
        <v>4</v>
      </c>
      <c r="R1" s="1723"/>
      <c r="S1" s="1724"/>
      <c r="T1" s="1722" t="s">
        <v>5</v>
      </c>
      <c r="U1" s="1723"/>
      <c r="V1" s="1724"/>
      <c r="W1" s="1722" t="s">
        <v>6</v>
      </c>
      <c r="X1" s="1723"/>
      <c r="Y1" s="1724"/>
      <c r="Z1" s="1722" t="s">
        <v>7</v>
      </c>
      <c r="AA1" s="1723"/>
      <c r="AB1" s="1724"/>
      <c r="AC1" s="1722" t="s">
        <v>8</v>
      </c>
      <c r="AD1" s="1723"/>
      <c r="AE1" s="1724"/>
      <c r="AF1" s="1722" t="s">
        <v>9</v>
      </c>
      <c r="AG1" s="1723"/>
      <c r="AH1" s="1724"/>
      <c r="AI1" s="1722" t="s">
        <v>10</v>
      </c>
      <c r="AJ1" s="1723"/>
      <c r="AK1" s="1724"/>
      <c r="AL1" s="1722" t="s">
        <v>11</v>
      </c>
      <c r="AM1" s="1723"/>
      <c r="AN1" s="1724"/>
      <c r="AO1" s="1722" t="s">
        <v>803</v>
      </c>
      <c r="AP1" s="1723"/>
      <c r="AQ1" s="1724"/>
    </row>
    <row r="2" spans="1:43" ht="24" customHeight="1" thickTop="1" thickBot="1" x14ac:dyDescent="0.3">
      <c r="B2" s="1725"/>
      <c r="C2" s="1725"/>
      <c r="D2" s="1725"/>
      <c r="E2" s="569" t="s">
        <v>228</v>
      </c>
      <c r="F2" s="570" t="s">
        <v>597</v>
      </c>
      <c r="G2" s="644" t="s">
        <v>635</v>
      </c>
      <c r="H2" s="569" t="s">
        <v>228</v>
      </c>
      <c r="I2" s="570" t="s">
        <v>597</v>
      </c>
      <c r="J2" s="644" t="s">
        <v>635</v>
      </c>
      <c r="K2" s="566" t="s">
        <v>228</v>
      </c>
      <c r="L2" s="567" t="s">
        <v>597</v>
      </c>
      <c r="M2" s="644" t="s">
        <v>635</v>
      </c>
      <c r="N2" s="569" t="s">
        <v>228</v>
      </c>
      <c r="O2" s="570" t="s">
        <v>597</v>
      </c>
      <c r="P2" s="644" t="s">
        <v>635</v>
      </c>
      <c r="Q2" s="569" t="s">
        <v>228</v>
      </c>
      <c r="R2" s="570" t="s">
        <v>597</v>
      </c>
      <c r="S2" s="644" t="s">
        <v>635</v>
      </c>
      <c r="T2" s="569" t="s">
        <v>228</v>
      </c>
      <c r="U2" s="570" t="s">
        <v>597</v>
      </c>
      <c r="V2" s="644" t="s">
        <v>635</v>
      </c>
      <c r="W2" s="566" t="s">
        <v>228</v>
      </c>
      <c r="X2" s="570" t="s">
        <v>597</v>
      </c>
      <c r="Y2" s="644" t="s">
        <v>635</v>
      </c>
      <c r="Z2" s="566" t="s">
        <v>228</v>
      </c>
      <c r="AA2" s="567" t="s">
        <v>597</v>
      </c>
      <c r="AB2" s="644" t="s">
        <v>635</v>
      </c>
      <c r="AC2" s="569" t="s">
        <v>228</v>
      </c>
      <c r="AD2" s="570" t="s">
        <v>597</v>
      </c>
      <c r="AE2" s="644" t="s">
        <v>635</v>
      </c>
      <c r="AF2" s="569" t="s">
        <v>228</v>
      </c>
      <c r="AG2" s="570" t="s">
        <v>597</v>
      </c>
      <c r="AH2" s="644" t="s">
        <v>635</v>
      </c>
      <c r="AI2" s="569" t="s">
        <v>228</v>
      </c>
      <c r="AJ2" s="570" t="s">
        <v>597</v>
      </c>
      <c r="AK2" s="644" t="s">
        <v>635</v>
      </c>
      <c r="AL2" s="569" t="s">
        <v>228</v>
      </c>
      <c r="AM2" s="570" t="s">
        <v>597</v>
      </c>
      <c r="AN2" s="644" t="s">
        <v>635</v>
      </c>
      <c r="AO2" s="566" t="s">
        <v>228</v>
      </c>
      <c r="AP2" s="567" t="s">
        <v>597</v>
      </c>
      <c r="AQ2" s="644" t="s">
        <v>635</v>
      </c>
    </row>
    <row r="3" spans="1:43" ht="24" customHeight="1" thickTop="1" thickBot="1" x14ac:dyDescent="0.4">
      <c r="B3" s="1719" t="s">
        <v>603</v>
      </c>
      <c r="C3" s="1719"/>
      <c r="D3" s="1720"/>
      <c r="E3" s="646">
        <f>E4+E5-E6</f>
        <v>100491.06</v>
      </c>
      <c r="F3" s="647">
        <f>F4+F5-F6</f>
        <v>0</v>
      </c>
      <c r="G3" s="595" t="e">
        <f>(E3/F3)-1</f>
        <v>#DIV/0!</v>
      </c>
      <c r="H3" s="590">
        <f t="shared" ref="H3:AG3" si="0">H4+H5-H6</f>
        <v>140829.41</v>
      </c>
      <c r="I3" s="591">
        <f t="shared" si="0"/>
        <v>0</v>
      </c>
      <c r="J3" s="592" t="e">
        <f>(H3/I3)-1</f>
        <v>#DIV/0!</v>
      </c>
      <c r="K3" s="602">
        <f t="shared" si="0"/>
        <v>78383.17</v>
      </c>
      <c r="L3" s="603">
        <f t="shared" si="0"/>
        <v>0</v>
      </c>
      <c r="M3" s="595" t="e">
        <f>(K3/L3)-1</f>
        <v>#DIV/0!</v>
      </c>
      <c r="N3" s="590">
        <f t="shared" si="0"/>
        <v>115177.02</v>
      </c>
      <c r="O3" s="591">
        <f t="shared" si="0"/>
        <v>0</v>
      </c>
      <c r="P3" s="592" t="e">
        <f>(N3/O3)-1</f>
        <v>#DIV/0!</v>
      </c>
      <c r="Q3" s="602">
        <f t="shared" si="0"/>
        <v>131578.49</v>
      </c>
      <c r="R3" s="603">
        <f t="shared" si="0"/>
        <v>0</v>
      </c>
      <c r="S3" s="595" t="e">
        <f>(Q3/R3)-1</f>
        <v>#DIV/0!</v>
      </c>
      <c r="T3" s="590">
        <f t="shared" si="0"/>
        <v>0</v>
      </c>
      <c r="U3" s="591">
        <f t="shared" si="0"/>
        <v>0</v>
      </c>
      <c r="V3" s="592" t="e">
        <f>(T3/U3)-1</f>
        <v>#DIV/0!</v>
      </c>
      <c r="W3" s="602">
        <f t="shared" si="0"/>
        <v>0</v>
      </c>
      <c r="X3" s="603">
        <f>X4+X5-X6</f>
        <v>0</v>
      </c>
      <c r="Y3" s="595" t="e">
        <f>(W3/X3)-1</f>
        <v>#DIV/0!</v>
      </c>
      <c r="Z3" s="590">
        <f t="shared" si="0"/>
        <v>0</v>
      </c>
      <c r="AA3" s="591">
        <f t="shared" si="0"/>
        <v>0</v>
      </c>
      <c r="AB3" s="592" t="e">
        <f>(Z3/AA3)-1</f>
        <v>#DIV/0!</v>
      </c>
      <c r="AC3" s="602">
        <f t="shared" ref="AC3:AD3" si="1">AC4+AC5-AC6</f>
        <v>0</v>
      </c>
      <c r="AD3" s="603">
        <f t="shared" si="1"/>
        <v>0</v>
      </c>
      <c r="AE3" s="595" t="e">
        <f>(AC3/AD3)-1</f>
        <v>#DIV/0!</v>
      </c>
      <c r="AF3" s="590">
        <f t="shared" si="0"/>
        <v>0</v>
      </c>
      <c r="AG3" s="591">
        <f t="shared" si="0"/>
        <v>0</v>
      </c>
      <c r="AH3" s="592" t="e">
        <f>(AF3/AG3)-1</f>
        <v>#DIV/0!</v>
      </c>
      <c r="AI3" s="623">
        <f t="shared" ref="AI3:AJ3" si="2">AI4+AI5-AI6</f>
        <v>0</v>
      </c>
      <c r="AJ3" s="624">
        <f t="shared" si="2"/>
        <v>0</v>
      </c>
      <c r="AK3" s="625" t="e">
        <f>(AI3/AJ3)-1</f>
        <v>#DIV/0!</v>
      </c>
      <c r="AL3" s="590">
        <f t="shared" ref="AL3:AM3" si="3">AL4+AL5-AL6</f>
        <v>0</v>
      </c>
      <c r="AM3" s="591">
        <f t="shared" si="3"/>
        <v>0</v>
      </c>
      <c r="AN3" s="592" t="e">
        <f>(AL3/AM3)-1</f>
        <v>#DIV/0!</v>
      </c>
      <c r="AO3" s="634">
        <f>AO4+AO5-AO6</f>
        <v>566459.15</v>
      </c>
      <c r="AP3" s="635">
        <f>AP4+AP5-AP6</f>
        <v>0</v>
      </c>
      <c r="AQ3" s="636" t="e">
        <f>(AO3/AP3)-1</f>
        <v>#DIV/0!</v>
      </c>
    </row>
    <row r="4" spans="1:43" ht="24" customHeight="1" thickTop="1" thickBot="1" x14ac:dyDescent="0.3">
      <c r="A4" s="565">
        <v>701</v>
      </c>
      <c r="B4" s="1699" t="s">
        <v>594</v>
      </c>
      <c r="C4" s="1700"/>
      <c r="D4" s="1701"/>
      <c r="E4" s="604">
        <v>100491.06</v>
      </c>
      <c r="F4" s="606">
        <f>DATOS!D4</f>
        <v>0</v>
      </c>
      <c r="G4" s="596" t="e">
        <f t="shared" ref="G4:G5" si="4">(E4/F4)-1</f>
        <v>#DIV/0!</v>
      </c>
      <c r="H4" s="572">
        <v>140829.41</v>
      </c>
      <c r="I4" s="572">
        <f>DATOS!F4</f>
        <v>0</v>
      </c>
      <c r="J4" s="574" t="e">
        <f t="shared" ref="J4:J5" si="5">(H4/I4)-1</f>
        <v>#DIV/0!</v>
      </c>
      <c r="K4" s="604">
        <v>78383.17</v>
      </c>
      <c r="L4" s="604">
        <f>DATOS!H4</f>
        <v>0</v>
      </c>
      <c r="M4" s="596" t="e">
        <f t="shared" ref="M4:M5" si="6">(K4/L4)-1</f>
        <v>#DIV/0!</v>
      </c>
      <c r="N4" s="572">
        <v>115177.02</v>
      </c>
      <c r="O4" s="572">
        <f>DATOS!J4</f>
        <v>0</v>
      </c>
      <c r="P4" s="574" t="e">
        <f t="shared" ref="P4:P5" si="7">(N4/O4)-1</f>
        <v>#DIV/0!</v>
      </c>
      <c r="Q4" s="604">
        <v>131578.49</v>
      </c>
      <c r="R4" s="604">
        <f>DATOS!L4</f>
        <v>0</v>
      </c>
      <c r="S4" s="596" t="e">
        <f t="shared" ref="S4:S5" si="8">(Q4/R4)-1</f>
        <v>#DIV/0!</v>
      </c>
      <c r="T4" s="572"/>
      <c r="U4" s="572">
        <f>DATOS!N4</f>
        <v>0</v>
      </c>
      <c r="V4" s="574" t="e">
        <f t="shared" ref="V4:V5" si="9">(T4/U4)-1</f>
        <v>#DIV/0!</v>
      </c>
      <c r="W4" s="604"/>
      <c r="X4" s="604">
        <f>DATOS!P4</f>
        <v>0</v>
      </c>
      <c r="Y4" s="596" t="e">
        <f t="shared" ref="Y4:Y5" si="10">(W4/X4)-1</f>
        <v>#DIV/0!</v>
      </c>
      <c r="Z4" s="572"/>
      <c r="AA4" s="572">
        <f>DATOS!R4</f>
        <v>0</v>
      </c>
      <c r="AB4" s="574" t="e">
        <f t="shared" ref="AB4:AB5" si="11">(Z4/AA4)-1</f>
        <v>#DIV/0!</v>
      </c>
      <c r="AC4" s="604"/>
      <c r="AD4" s="604">
        <f>DATOS!T4</f>
        <v>0</v>
      </c>
      <c r="AE4" s="596" t="e">
        <f t="shared" ref="AE4:AE5" si="12">(AC4/AD4)-1</f>
        <v>#DIV/0!</v>
      </c>
      <c r="AF4" s="572"/>
      <c r="AG4" s="572">
        <f>DATOS!V4</f>
        <v>0</v>
      </c>
      <c r="AH4" s="574" t="e">
        <f t="shared" ref="AH4:AH5" si="13">(AF4/AG4)-1</f>
        <v>#DIV/0!</v>
      </c>
      <c r="AI4" s="604"/>
      <c r="AJ4" s="604">
        <f>DATOS!X4</f>
        <v>0</v>
      </c>
      <c r="AK4" s="596" t="e">
        <f t="shared" ref="AK4:AK5" si="14">(AI4/AJ4)-1</f>
        <v>#DIV/0!</v>
      </c>
      <c r="AL4" s="572"/>
      <c r="AM4" s="572">
        <f>DATOS!Z4</f>
        <v>0</v>
      </c>
      <c r="AN4" s="574" t="e">
        <f t="shared" ref="AN4:AN5" si="15">(AL4/AM4)-1</f>
        <v>#DIV/0!</v>
      </c>
      <c r="AO4" s="628">
        <f>$E4+$H4+$K4+$N4+$Q4+$T4+$W4+$Z4+$AC4+$AF4+$AI4+$AL4</f>
        <v>566459.15</v>
      </c>
      <c r="AP4" s="629">
        <f>F4+I4+L4+O4+R4+U4+X4+AA4+AD4+AG4+AJ4+AM4</f>
        <v>0</v>
      </c>
      <c r="AQ4" s="637" t="e">
        <f t="shared" ref="AQ4:AQ5" si="16">(AO4/AP4)-1</f>
        <v>#DIV/0!</v>
      </c>
    </row>
    <row r="5" spans="1:43" ht="24" customHeight="1" thickTop="1" thickBot="1" x14ac:dyDescent="0.3">
      <c r="A5" s="565">
        <v>704</v>
      </c>
      <c r="B5" s="1699" t="s">
        <v>595</v>
      </c>
      <c r="C5" s="1700"/>
      <c r="D5" s="1701"/>
      <c r="E5" s="604">
        <v>0</v>
      </c>
      <c r="F5" s="606"/>
      <c r="G5" s="596" t="e">
        <f t="shared" si="4"/>
        <v>#DIV/0!</v>
      </c>
      <c r="H5" s="572">
        <v>0</v>
      </c>
      <c r="I5" s="575"/>
      <c r="J5" s="574" t="e">
        <f t="shared" si="5"/>
        <v>#DIV/0!</v>
      </c>
      <c r="K5" s="604">
        <v>0</v>
      </c>
      <c r="L5" s="606"/>
      <c r="M5" s="596" t="e">
        <f t="shared" si="6"/>
        <v>#DIV/0!</v>
      </c>
      <c r="N5" s="572">
        <v>0</v>
      </c>
      <c r="O5" s="575"/>
      <c r="P5" s="574" t="e">
        <f t="shared" si="7"/>
        <v>#DIV/0!</v>
      </c>
      <c r="Q5" s="604">
        <v>0</v>
      </c>
      <c r="R5" s="606"/>
      <c r="S5" s="596" t="e">
        <f t="shared" si="8"/>
        <v>#DIV/0!</v>
      </c>
      <c r="T5" s="572"/>
      <c r="U5" s="575"/>
      <c r="V5" s="574" t="e">
        <f t="shared" si="9"/>
        <v>#DIV/0!</v>
      </c>
      <c r="W5" s="604"/>
      <c r="X5" s="606"/>
      <c r="Y5" s="596" t="e">
        <f t="shared" si="10"/>
        <v>#DIV/0!</v>
      </c>
      <c r="Z5" s="572"/>
      <c r="AA5" s="575"/>
      <c r="AB5" s="574" t="e">
        <f t="shared" si="11"/>
        <v>#DIV/0!</v>
      </c>
      <c r="AC5" s="604"/>
      <c r="AD5" s="606"/>
      <c r="AE5" s="596" t="e">
        <f t="shared" si="12"/>
        <v>#DIV/0!</v>
      </c>
      <c r="AF5" s="572"/>
      <c r="AG5" s="575"/>
      <c r="AH5" s="574" t="e">
        <f t="shared" si="13"/>
        <v>#DIV/0!</v>
      </c>
      <c r="AI5" s="604"/>
      <c r="AJ5" s="606"/>
      <c r="AK5" s="596" t="e">
        <f t="shared" si="14"/>
        <v>#DIV/0!</v>
      </c>
      <c r="AL5" s="572"/>
      <c r="AM5" s="575"/>
      <c r="AN5" s="574" t="e">
        <f t="shared" si="15"/>
        <v>#DIV/0!</v>
      </c>
      <c r="AO5" s="628">
        <f t="shared" ref="AO5:AO6" si="17">$E5+$H5+$K5+$N5+$Q5+$T5+$W5+$Z5+$AC5+$AF5+$AI5+$AL5</f>
        <v>0</v>
      </c>
      <c r="AP5" s="629">
        <f t="shared" ref="AP5:AP6" si="18">F5+I5+L5+O5+R5+U5+X5+AA5+AD5+AG5+AJ5+AM5</f>
        <v>0</v>
      </c>
      <c r="AQ5" s="637" t="e">
        <f t="shared" si="16"/>
        <v>#DIV/0!</v>
      </c>
    </row>
    <row r="6" spans="1:43" ht="24" customHeight="1" thickTop="1" thickBot="1" x14ac:dyDescent="0.3">
      <c r="A6" s="565">
        <v>708</v>
      </c>
      <c r="B6" s="1699" t="s">
        <v>596</v>
      </c>
      <c r="C6" s="1700"/>
      <c r="D6" s="1701"/>
      <c r="E6" s="604">
        <f>DATOS!D158</f>
        <v>0</v>
      </c>
      <c r="F6" s="605"/>
      <c r="G6" s="597" t="e">
        <f>1-(E6/F6)</f>
        <v>#DIV/0!</v>
      </c>
      <c r="H6" s="575">
        <f>DATOS!F158</f>
        <v>0</v>
      </c>
      <c r="I6" s="573"/>
      <c r="J6" s="576" t="e">
        <f>1-(H6/I6)</f>
        <v>#DIV/0!</v>
      </c>
      <c r="K6" s="604">
        <f>DATOS!H158</f>
        <v>0</v>
      </c>
      <c r="L6" s="605"/>
      <c r="M6" s="597" t="e">
        <f>1-(K6/L6)</f>
        <v>#DIV/0!</v>
      </c>
      <c r="N6" s="575">
        <f>DATOS!J158</f>
        <v>0</v>
      </c>
      <c r="O6" s="573"/>
      <c r="P6" s="576" t="e">
        <f>1-(N6/O6)</f>
        <v>#DIV/0!</v>
      </c>
      <c r="Q6" s="604">
        <f>DATOS!L158</f>
        <v>0</v>
      </c>
      <c r="R6" s="605"/>
      <c r="S6" s="597" t="e">
        <f>1-(Q6/R6)</f>
        <v>#DIV/0!</v>
      </c>
      <c r="T6" s="575">
        <f>DATOS!N158</f>
        <v>0</v>
      </c>
      <c r="U6" s="573"/>
      <c r="V6" s="576" t="e">
        <f>1-(T6/U6)</f>
        <v>#DIV/0!</v>
      </c>
      <c r="W6" s="604">
        <f>DATOS!P158</f>
        <v>0</v>
      </c>
      <c r="X6" s="605"/>
      <c r="Y6" s="597" t="e">
        <f>1-(W6/X6)</f>
        <v>#DIV/0!</v>
      </c>
      <c r="Z6" s="575">
        <f>DATOS!R158</f>
        <v>0</v>
      </c>
      <c r="AA6" s="573"/>
      <c r="AB6" s="576" t="e">
        <f>1-(Z6/AA6)</f>
        <v>#DIV/0!</v>
      </c>
      <c r="AC6" s="604">
        <f>DATOS!T158</f>
        <v>0</v>
      </c>
      <c r="AD6" s="605"/>
      <c r="AE6" s="597" t="e">
        <f>1-(AC6/AD6)</f>
        <v>#DIV/0!</v>
      </c>
      <c r="AF6" s="575">
        <f>DATOS!V158</f>
        <v>0</v>
      </c>
      <c r="AG6" s="573"/>
      <c r="AH6" s="576" t="e">
        <f>1-(AF6/AG6)</f>
        <v>#DIV/0!</v>
      </c>
      <c r="AI6" s="604">
        <f>DATOS!X158</f>
        <v>0</v>
      </c>
      <c r="AJ6" s="605"/>
      <c r="AK6" s="597" t="e">
        <f>1-(AI6/AJ6)</f>
        <v>#DIV/0!</v>
      </c>
      <c r="AL6" s="575">
        <f>DATOS!Z158</f>
        <v>0</v>
      </c>
      <c r="AM6" s="573"/>
      <c r="AN6" s="576" t="e">
        <f>1-(AL6/AM6)</f>
        <v>#DIV/0!</v>
      </c>
      <c r="AO6" s="628">
        <f t="shared" si="17"/>
        <v>0</v>
      </c>
      <c r="AP6" s="629">
        <f t="shared" si="18"/>
        <v>0</v>
      </c>
      <c r="AQ6" s="638" t="e">
        <f>1-(AO6/AP6)</f>
        <v>#DIV/0!</v>
      </c>
    </row>
    <row r="7" spans="1:43" ht="24" customHeight="1" thickTop="1" thickBot="1" x14ac:dyDescent="0.4">
      <c r="B7" s="1715" t="s">
        <v>598</v>
      </c>
      <c r="C7" s="1715"/>
      <c r="E7" s="607">
        <f>SUM(E8:E10)</f>
        <v>14613.380000000001</v>
      </c>
      <c r="F7" s="607">
        <f>SUM(F8:F10)</f>
        <v>0</v>
      </c>
      <c r="G7" s="598" t="e">
        <f>1-(E7/F7)</f>
        <v>#DIV/0!</v>
      </c>
      <c r="H7" s="593">
        <f t="shared" ref="H7:AG7" si="19">SUM(H8:H10)</f>
        <v>19263.95</v>
      </c>
      <c r="I7" s="593">
        <f t="shared" si="19"/>
        <v>0</v>
      </c>
      <c r="J7" s="594" t="e">
        <f>1-(H7/I7)</f>
        <v>#DIV/0!</v>
      </c>
      <c r="K7" s="607">
        <f t="shared" si="19"/>
        <v>14916.259999999998</v>
      </c>
      <c r="L7" s="607">
        <f t="shared" si="19"/>
        <v>0</v>
      </c>
      <c r="M7" s="598" t="e">
        <f>1-(K7/L7)</f>
        <v>#DIV/0!</v>
      </c>
      <c r="N7" s="593">
        <f t="shared" si="19"/>
        <v>21950.47</v>
      </c>
      <c r="O7" s="593">
        <f t="shared" si="19"/>
        <v>0</v>
      </c>
      <c r="P7" s="594" t="e">
        <f>1-(N7/O7)</f>
        <v>#DIV/0!</v>
      </c>
      <c r="Q7" s="607">
        <f t="shared" si="19"/>
        <v>18344.189999999999</v>
      </c>
      <c r="R7" s="607">
        <f t="shared" si="19"/>
        <v>0</v>
      </c>
      <c r="S7" s="598" t="e">
        <f>1-(Q7/R7)</f>
        <v>#DIV/0!</v>
      </c>
      <c r="T7" s="593">
        <f t="shared" si="19"/>
        <v>19743.129999999997</v>
      </c>
      <c r="U7" s="593">
        <f t="shared" si="19"/>
        <v>0</v>
      </c>
      <c r="V7" s="594" t="e">
        <f>1-(T7/U7)</f>
        <v>#DIV/0!</v>
      </c>
      <c r="W7" s="607">
        <f t="shared" si="19"/>
        <v>29959.43</v>
      </c>
      <c r="X7" s="607">
        <f>SUM(X8:X10)</f>
        <v>0</v>
      </c>
      <c r="Y7" s="598" t="e">
        <f>1-(W7/X7)</f>
        <v>#DIV/0!</v>
      </c>
      <c r="Z7" s="593">
        <f t="shared" si="19"/>
        <v>12173.41</v>
      </c>
      <c r="AA7" s="593">
        <f t="shared" si="19"/>
        <v>0</v>
      </c>
      <c r="AB7" s="594" t="e">
        <f>1-(Z7/AA7)</f>
        <v>#DIV/0!</v>
      </c>
      <c r="AC7" s="607">
        <f t="shared" ref="AC7" si="20">SUM(AC8:AC10)</f>
        <v>15097.8</v>
      </c>
      <c r="AD7" s="607">
        <f t="shared" ref="AD7" si="21">SUM(AD8:AD10)</f>
        <v>0</v>
      </c>
      <c r="AE7" s="598" t="e">
        <f>1-(AC7/AD7)</f>
        <v>#DIV/0!</v>
      </c>
      <c r="AF7" s="593">
        <f t="shared" si="19"/>
        <v>16382.35</v>
      </c>
      <c r="AG7" s="593">
        <f t="shared" si="19"/>
        <v>0</v>
      </c>
      <c r="AH7" s="594" t="e">
        <f>1-(AF7/AG7)</f>
        <v>#DIV/0!</v>
      </c>
      <c r="AI7" s="626">
        <f t="shared" ref="AI7" si="22">SUM(AI8:AI10)</f>
        <v>12123.74</v>
      </c>
      <c r="AJ7" s="626">
        <f t="shared" ref="AJ7" si="23">SUM(AJ8:AJ10)</f>
        <v>0</v>
      </c>
      <c r="AK7" s="627" t="e">
        <f>1-(AI7/AJ7)</f>
        <v>#DIV/0!</v>
      </c>
      <c r="AL7" s="593">
        <f>SUM(AL8:AL11)</f>
        <v>-48959.19</v>
      </c>
      <c r="AM7" s="593">
        <f t="shared" ref="AM7" si="24">SUM(AM8:AM10)</f>
        <v>0</v>
      </c>
      <c r="AN7" s="594" t="e">
        <f>1-(AL7/AM7)</f>
        <v>#DIV/0!</v>
      </c>
      <c r="AO7" s="633">
        <f>SUM(AO8:AO11)</f>
        <v>145608.91999999998</v>
      </c>
      <c r="AP7" s="633">
        <f>SUM(AP8:AP10)</f>
        <v>0</v>
      </c>
      <c r="AQ7" s="639" t="e">
        <f>1-(AO7/AP7)</f>
        <v>#DIV/0!</v>
      </c>
    </row>
    <row r="8" spans="1:43" ht="24" customHeight="1" thickTop="1" thickBot="1" x14ac:dyDescent="0.3">
      <c r="A8" s="565">
        <v>601</v>
      </c>
      <c r="B8" s="1699" t="s">
        <v>599</v>
      </c>
      <c r="C8" s="1700"/>
      <c r="D8" s="1701"/>
      <c r="E8" s="608">
        <f>DATOS!D12</f>
        <v>13566.29</v>
      </c>
      <c r="F8" s="609"/>
      <c r="G8" s="599" t="e">
        <f>1-(E8/F8)</f>
        <v>#DIV/0!</v>
      </c>
      <c r="H8" s="578">
        <f>DATOS!F12</f>
        <v>19011.97</v>
      </c>
      <c r="I8" s="579"/>
      <c r="J8" s="580" t="e">
        <f>1-(H8/I8)</f>
        <v>#DIV/0!</v>
      </c>
      <c r="K8" s="608">
        <f>DATOS!H12</f>
        <v>14443.8</v>
      </c>
      <c r="L8" s="609"/>
      <c r="M8" s="599" t="e">
        <f>1-(K8/L8)</f>
        <v>#DIV/0!</v>
      </c>
      <c r="N8" s="578">
        <f>DATOS!J12</f>
        <v>15548.9</v>
      </c>
      <c r="O8" s="579"/>
      <c r="P8" s="580" t="e">
        <f>1-(N8/O8)</f>
        <v>#DIV/0!</v>
      </c>
      <c r="Q8" s="608">
        <f>DATOS!L12</f>
        <v>17763.099999999999</v>
      </c>
      <c r="R8" s="609"/>
      <c r="S8" s="599" t="e">
        <f>1-(Q8/R8)</f>
        <v>#DIV/0!</v>
      </c>
      <c r="T8" s="578">
        <f>DATOS!N12</f>
        <v>17763.099999999999</v>
      </c>
      <c r="U8" s="579"/>
      <c r="V8" s="580" t="e">
        <f>1-(T8/U8)</f>
        <v>#DIV/0!</v>
      </c>
      <c r="W8" s="762">
        <f>DATOS!P12</f>
        <v>27726.47</v>
      </c>
      <c r="X8" s="609"/>
      <c r="Y8" s="599" t="e">
        <f>1-(W8/X8)</f>
        <v>#DIV/0!</v>
      </c>
      <c r="Z8" s="578">
        <f>DATOS!R12</f>
        <v>11631.99</v>
      </c>
      <c r="AA8" s="579"/>
      <c r="AB8" s="580" t="e">
        <f>1-(Z8/AA8)</f>
        <v>#DIV/0!</v>
      </c>
      <c r="AC8" s="762">
        <f>DATOS!T12</f>
        <v>13494.81</v>
      </c>
      <c r="AD8" s="609"/>
      <c r="AE8" s="599" t="e">
        <f>1-(AC8/AD8)</f>
        <v>#DIV/0!</v>
      </c>
      <c r="AF8" s="578">
        <f>DATOS!V12</f>
        <v>15780.37</v>
      </c>
      <c r="AG8" s="579"/>
      <c r="AH8" s="580" t="e">
        <f>1-(AF8/AG8)</f>
        <v>#DIV/0!</v>
      </c>
      <c r="AI8" s="609">
        <f>DATOS!X12</f>
        <v>12003.59</v>
      </c>
      <c r="AJ8" s="609"/>
      <c r="AK8" s="599" t="e">
        <f>1-(AI8/AJ8)</f>
        <v>#DIV/0!</v>
      </c>
      <c r="AL8" s="578">
        <f>DATOS!Z12</f>
        <v>-49007.18</v>
      </c>
      <c r="AM8" s="579"/>
      <c r="AN8" s="580" t="e">
        <f>1-(AL8/AM8)</f>
        <v>#DIV/0!</v>
      </c>
      <c r="AO8" s="628">
        <f>$E8+$H8+$K8+$N8+$Q8+$T8+$W8+$Z8+$AC8+$AF8+$AI8+$AL8</f>
        <v>129727.20999999999</v>
      </c>
      <c r="AP8" s="629">
        <f>F8+I8+L8+O8+R8+U8+X8+AA8+AD8+AG8+AJ8+AM8</f>
        <v>0</v>
      </c>
      <c r="AQ8" s="640" t="e">
        <f>1-(AO8/AP8)</f>
        <v>#DIV/0!</v>
      </c>
    </row>
    <row r="9" spans="1:43" ht="24" customHeight="1" thickTop="1" thickBot="1" x14ac:dyDescent="0.3">
      <c r="A9" s="565">
        <v>602</v>
      </c>
      <c r="B9" s="1699" t="s">
        <v>600</v>
      </c>
      <c r="C9" s="1700"/>
      <c r="D9" s="1701"/>
      <c r="E9" s="604">
        <f>DATOS!D16</f>
        <v>1047.0899999999999</v>
      </c>
      <c r="F9" s="606"/>
      <c r="G9" s="599" t="e">
        <f t="shared" ref="G9:G10" si="25">1-(E9/F9)</f>
        <v>#DIV/0!</v>
      </c>
      <c r="H9" s="572">
        <f>DATOS!F16</f>
        <v>251.98</v>
      </c>
      <c r="I9" s="575"/>
      <c r="J9" s="580" t="e">
        <f t="shared" ref="J9:J10" si="26">1-(H9/I9)</f>
        <v>#DIV/0!</v>
      </c>
      <c r="K9" s="604">
        <f>DATOS!H16</f>
        <v>472.46</v>
      </c>
      <c r="L9" s="606"/>
      <c r="M9" s="599" t="e">
        <f t="shared" ref="M9:M10" si="27">1-(K9/L9)</f>
        <v>#DIV/0!</v>
      </c>
      <c r="N9" s="572">
        <f>DATOS!J16</f>
        <v>6401.57</v>
      </c>
      <c r="O9" s="575"/>
      <c r="P9" s="580" t="e">
        <f t="shared" ref="P9:P10" si="28">1-(N9/O9)</f>
        <v>#DIV/0!</v>
      </c>
      <c r="Q9" s="604">
        <f>DATOS!L16</f>
        <v>581.09</v>
      </c>
      <c r="R9" s="606"/>
      <c r="S9" s="599" t="e">
        <f t="shared" ref="S9:S10" si="29">1-(Q9/R9)</f>
        <v>#DIV/0!</v>
      </c>
      <c r="T9" s="572">
        <f>DATOS!N16</f>
        <v>1980.03</v>
      </c>
      <c r="U9" s="575"/>
      <c r="V9" s="580" t="e">
        <f t="shared" ref="V9:V10" si="30">1-(T9/U9)</f>
        <v>#DIV/0!</v>
      </c>
      <c r="W9" s="763">
        <f>DATOS!P16</f>
        <v>2232.96</v>
      </c>
      <c r="X9" s="606"/>
      <c r="Y9" s="599" t="e">
        <f t="shared" ref="Y9:Y10" si="31">1-(W9/X9)</f>
        <v>#DIV/0!</v>
      </c>
      <c r="Z9" s="572">
        <f>DATOS!R16</f>
        <v>541.41999999999996</v>
      </c>
      <c r="AA9" s="575"/>
      <c r="AB9" s="580" t="e">
        <f t="shared" ref="AB9:AB10" si="32">1-(Z9/AA9)</f>
        <v>#DIV/0!</v>
      </c>
      <c r="AC9" s="763">
        <f>DATOS!T16</f>
        <v>1602.99</v>
      </c>
      <c r="AD9" s="606"/>
      <c r="AE9" s="599" t="e">
        <f t="shared" ref="AE9:AE10" si="33">1-(AC9/AD9)</f>
        <v>#DIV/0!</v>
      </c>
      <c r="AF9" s="572">
        <f>DATOS!V16</f>
        <v>601.98</v>
      </c>
      <c r="AG9" s="575"/>
      <c r="AH9" s="580" t="e">
        <f t="shared" ref="AH9:AH10" si="34">1-(AF9/AG9)</f>
        <v>#DIV/0!</v>
      </c>
      <c r="AI9" s="606">
        <f>DATOS!X16</f>
        <v>120.15</v>
      </c>
      <c r="AJ9" s="606"/>
      <c r="AK9" s="599" t="e">
        <f t="shared" ref="AK9:AK10" si="35">1-(AI9/AJ9)</f>
        <v>#DIV/0!</v>
      </c>
      <c r="AL9" s="572">
        <f>DATOS!Z16</f>
        <v>47.99</v>
      </c>
      <c r="AM9" s="575"/>
      <c r="AN9" s="580" t="e">
        <f t="shared" ref="AN9:AN10" si="36">1-(AL9/AM9)</f>
        <v>#DIV/0!</v>
      </c>
      <c r="AO9" s="628">
        <f t="shared" ref="AO9:AO11" si="37">$E9+$H9+$K9+$N9+$Q9+$T9+$W9+$Z9+$AC9+$AF9+$AI9+$AL9</f>
        <v>15881.71</v>
      </c>
      <c r="AP9" s="629">
        <f t="shared" ref="AP9:AP10" si="38">F9+I9+L9+O9+R9+U9+X9+AA9+AD9+AG9+AJ9+AM9</f>
        <v>0</v>
      </c>
      <c r="AQ9" s="640" t="e">
        <f t="shared" ref="AQ9:AQ11" si="39">1-(AO9/AP9)</f>
        <v>#DIV/0!</v>
      </c>
    </row>
    <row r="10" spans="1:43" ht="24" customHeight="1" thickTop="1" thickBot="1" x14ac:dyDescent="0.3">
      <c r="A10" s="565">
        <v>607</v>
      </c>
      <c r="B10" s="1699" t="s">
        <v>601</v>
      </c>
      <c r="C10" s="1700"/>
      <c r="D10" s="1701"/>
      <c r="E10" s="604">
        <v>0</v>
      </c>
      <c r="F10" s="606"/>
      <c r="G10" s="599" t="e">
        <f t="shared" si="25"/>
        <v>#DIV/0!</v>
      </c>
      <c r="H10" s="572">
        <v>0</v>
      </c>
      <c r="I10" s="575"/>
      <c r="J10" s="580" t="e">
        <f t="shared" si="26"/>
        <v>#DIV/0!</v>
      </c>
      <c r="K10" s="604">
        <v>0</v>
      </c>
      <c r="L10" s="606"/>
      <c r="M10" s="599" t="e">
        <f t="shared" si="27"/>
        <v>#DIV/0!</v>
      </c>
      <c r="N10" s="572">
        <v>0</v>
      </c>
      <c r="O10" s="575"/>
      <c r="P10" s="580" t="e">
        <f t="shared" si="28"/>
        <v>#DIV/0!</v>
      </c>
      <c r="Q10" s="604">
        <v>0</v>
      </c>
      <c r="R10" s="606"/>
      <c r="S10" s="599" t="e">
        <f t="shared" si="29"/>
        <v>#DIV/0!</v>
      </c>
      <c r="T10" s="572"/>
      <c r="U10" s="575"/>
      <c r="V10" s="580" t="e">
        <f t="shared" si="30"/>
        <v>#DIV/0!</v>
      </c>
      <c r="W10" s="604"/>
      <c r="X10" s="606"/>
      <c r="Y10" s="599" t="e">
        <f t="shared" si="31"/>
        <v>#DIV/0!</v>
      </c>
      <c r="Z10" s="572"/>
      <c r="AA10" s="575"/>
      <c r="AB10" s="580" t="e">
        <f t="shared" si="32"/>
        <v>#DIV/0!</v>
      </c>
      <c r="AC10" s="604"/>
      <c r="AD10" s="606"/>
      <c r="AE10" s="599" t="e">
        <f t="shared" si="33"/>
        <v>#DIV/0!</v>
      </c>
      <c r="AF10" s="572"/>
      <c r="AG10" s="575"/>
      <c r="AH10" s="580" t="e">
        <f t="shared" si="34"/>
        <v>#DIV/0!</v>
      </c>
      <c r="AI10" s="604"/>
      <c r="AJ10" s="606"/>
      <c r="AK10" s="599" t="e">
        <f t="shared" si="35"/>
        <v>#DIV/0!</v>
      </c>
      <c r="AL10" s="572"/>
      <c r="AM10" s="575"/>
      <c r="AN10" s="580" t="e">
        <f t="shared" si="36"/>
        <v>#DIV/0!</v>
      </c>
      <c r="AO10" s="628">
        <f t="shared" si="37"/>
        <v>0</v>
      </c>
      <c r="AP10" s="629">
        <f t="shared" si="38"/>
        <v>0</v>
      </c>
      <c r="AQ10" s="640" t="e">
        <f t="shared" si="39"/>
        <v>#DIV/0!</v>
      </c>
    </row>
    <row r="11" spans="1:43" ht="24" customHeight="1" thickTop="1" thickBot="1" x14ac:dyDescent="0.3">
      <c r="A11" s="565">
        <v>611</v>
      </c>
      <c r="B11" s="1716" t="s">
        <v>776</v>
      </c>
      <c r="C11" s="1717"/>
      <c r="D11" s="1718"/>
      <c r="E11" s="604">
        <v>0</v>
      </c>
      <c r="F11" s="606"/>
      <c r="G11" s="597"/>
      <c r="H11" s="572">
        <v>0</v>
      </c>
      <c r="I11" s="575"/>
      <c r="J11" s="576"/>
      <c r="K11" s="604">
        <v>0</v>
      </c>
      <c r="L11" s="606"/>
      <c r="M11" s="597"/>
      <c r="N11" s="575">
        <v>0</v>
      </c>
      <c r="O11" s="573"/>
      <c r="P11" s="576"/>
      <c r="Q11" s="604">
        <v>0</v>
      </c>
      <c r="R11" s="605"/>
      <c r="S11" s="597"/>
      <c r="T11" s="575"/>
      <c r="U11" s="573"/>
      <c r="V11" s="576"/>
      <c r="W11" s="604"/>
      <c r="X11" s="605"/>
      <c r="Y11" s="597"/>
      <c r="Z11" s="575"/>
      <c r="AA11" s="573"/>
      <c r="AB11" s="580"/>
      <c r="AC11" s="604"/>
      <c r="AD11" s="605"/>
      <c r="AE11" s="597"/>
      <c r="AF11" s="575"/>
      <c r="AG11" s="573"/>
      <c r="AH11" s="576"/>
      <c r="AI11" s="604"/>
      <c r="AJ11" s="605"/>
      <c r="AK11" s="597"/>
      <c r="AL11" s="575"/>
      <c r="AM11" s="573"/>
      <c r="AN11" s="576"/>
      <c r="AO11" s="628">
        <f t="shared" si="37"/>
        <v>0</v>
      </c>
      <c r="AP11" s="629"/>
      <c r="AQ11" s="640" t="e">
        <f t="shared" si="39"/>
        <v>#DIV/0!</v>
      </c>
    </row>
    <row r="12" spans="1:43" ht="24" customHeight="1" thickTop="1" thickBot="1" x14ac:dyDescent="0.4">
      <c r="B12" s="1139" t="s">
        <v>602</v>
      </c>
      <c r="C12" s="1140"/>
      <c r="E12" s="611">
        <f>SUM(E13:E15)</f>
        <v>0.03</v>
      </c>
      <c r="F12" s="611">
        <f t="shared" ref="F12:AP12" si="40">SUM(F13:F15)</f>
        <v>0</v>
      </c>
      <c r="G12" s="612" t="e">
        <f>(E12/F12)-1</f>
        <v>#DIV/0!</v>
      </c>
      <c r="H12" s="593">
        <f t="shared" si="40"/>
        <v>151.57</v>
      </c>
      <c r="I12" s="593">
        <f t="shared" si="40"/>
        <v>0</v>
      </c>
      <c r="J12" s="594" t="e">
        <f>(H12/I12)-1</f>
        <v>#DIV/0!</v>
      </c>
      <c r="K12" s="626">
        <f t="shared" si="40"/>
        <v>1.77</v>
      </c>
      <c r="L12" s="626">
        <f t="shared" si="40"/>
        <v>0</v>
      </c>
      <c r="M12" s="627" t="e">
        <f>(K12/L12)-1</f>
        <v>#DIV/0!</v>
      </c>
      <c r="N12" s="593">
        <f t="shared" si="40"/>
        <v>0.1</v>
      </c>
      <c r="O12" s="593">
        <f t="shared" ref="O12" si="41">SUM(O13:O15)</f>
        <v>0</v>
      </c>
      <c r="P12" s="594" t="e">
        <f>(N12/O12)-1</f>
        <v>#DIV/0!</v>
      </c>
      <c r="Q12" s="607">
        <f t="shared" si="40"/>
        <v>13.49</v>
      </c>
      <c r="R12" s="607">
        <f t="shared" si="40"/>
        <v>0</v>
      </c>
      <c r="S12" s="598" t="e">
        <f>(Q12/R12)-1</f>
        <v>#DIV/0!</v>
      </c>
      <c r="T12" s="593">
        <f t="shared" si="40"/>
        <v>0</v>
      </c>
      <c r="U12" s="593">
        <f t="shared" ref="U12" si="42">SUM(U13:U15)</f>
        <v>0</v>
      </c>
      <c r="V12" s="594" t="e">
        <f>(T12/U12)-1</f>
        <v>#DIV/0!</v>
      </c>
      <c r="W12" s="607">
        <f t="shared" si="40"/>
        <v>0</v>
      </c>
      <c r="X12" s="607">
        <f t="shared" ref="X12" si="43">SUM(X13:X15)</f>
        <v>0</v>
      </c>
      <c r="Y12" s="598" t="e">
        <f>(W12/X12)-1</f>
        <v>#DIV/0!</v>
      </c>
      <c r="Z12" s="593">
        <f t="shared" si="40"/>
        <v>0</v>
      </c>
      <c r="AA12" s="593">
        <f t="shared" si="40"/>
        <v>0</v>
      </c>
      <c r="AB12" s="594" t="e">
        <f>(Z12/AA12)-1</f>
        <v>#DIV/0!</v>
      </c>
      <c r="AC12" s="607">
        <f t="shared" ref="AC12:AD12" si="44">SUM(AC13:AC15)</f>
        <v>0</v>
      </c>
      <c r="AD12" s="607">
        <f t="shared" si="44"/>
        <v>0</v>
      </c>
      <c r="AE12" s="598" t="e">
        <f>(AC12/AD12)-1</f>
        <v>#DIV/0!</v>
      </c>
      <c r="AF12" s="593">
        <f t="shared" si="40"/>
        <v>0</v>
      </c>
      <c r="AG12" s="593">
        <f t="shared" si="40"/>
        <v>0</v>
      </c>
      <c r="AH12" s="594" t="e">
        <f>(AF12/AG12)-1</f>
        <v>#DIV/0!</v>
      </c>
      <c r="AI12" s="626">
        <f t="shared" ref="AI12:AJ12" si="45">SUM(AI13:AI15)</f>
        <v>0</v>
      </c>
      <c r="AJ12" s="626">
        <f t="shared" si="45"/>
        <v>0</v>
      </c>
      <c r="AK12" s="627" t="e">
        <f>(AI12/AJ12)-1</f>
        <v>#DIV/0!</v>
      </c>
      <c r="AL12" s="593">
        <f t="shared" ref="AL12:AM12" si="46">SUM(AL13:AL15)</f>
        <v>0</v>
      </c>
      <c r="AM12" s="593">
        <f t="shared" si="46"/>
        <v>0</v>
      </c>
      <c r="AN12" s="594" t="e">
        <f>(AL12/AM12)-1</f>
        <v>#DIV/0!</v>
      </c>
      <c r="AO12" s="633">
        <f t="shared" si="40"/>
        <v>166.96</v>
      </c>
      <c r="AP12" s="633">
        <f t="shared" si="40"/>
        <v>0</v>
      </c>
      <c r="AQ12" s="639" t="e">
        <f>(AO12/AP12)-1</f>
        <v>#DIV/0!</v>
      </c>
    </row>
    <row r="13" spans="1:43" ht="24" customHeight="1" thickTop="1" thickBot="1" x14ac:dyDescent="0.3">
      <c r="A13" s="565">
        <v>755</v>
      </c>
      <c r="B13" s="1699" t="s">
        <v>634</v>
      </c>
      <c r="C13" s="1700"/>
      <c r="D13" s="1701"/>
      <c r="E13" s="608">
        <v>0</v>
      </c>
      <c r="F13" s="609"/>
      <c r="G13" s="756" t="e">
        <f t="shared" ref="G13:G15" si="47">(E13/F13)-1</f>
        <v>#DIV/0!</v>
      </c>
      <c r="H13" s="578">
        <v>0</v>
      </c>
      <c r="I13" s="579"/>
      <c r="J13" s="757" t="e">
        <f t="shared" ref="J13:J15" si="48">(H13/I13)-1</f>
        <v>#DIV/0!</v>
      </c>
      <c r="K13" s="608">
        <v>0</v>
      </c>
      <c r="L13" s="609"/>
      <c r="M13" s="597" t="e">
        <f t="shared" ref="M13:M15" si="49">(K13/L13)-1</f>
        <v>#DIV/0!</v>
      </c>
      <c r="N13" s="578">
        <v>0</v>
      </c>
      <c r="O13" s="579"/>
      <c r="P13" s="576" t="e">
        <f t="shared" ref="P13:P15" si="50">(N13/O13)-1</f>
        <v>#DIV/0!</v>
      </c>
      <c r="Q13" s="608">
        <v>0</v>
      </c>
      <c r="R13" s="609"/>
      <c r="S13" s="597" t="e">
        <f t="shared" ref="S13:S15" si="51">(Q13/R13)-1</f>
        <v>#DIV/0!</v>
      </c>
      <c r="T13" s="578"/>
      <c r="U13" s="579"/>
      <c r="V13" s="576" t="e">
        <f t="shared" ref="V13:V15" si="52">(T13/U13)-1</f>
        <v>#DIV/0!</v>
      </c>
      <c r="W13" s="608"/>
      <c r="X13" s="609"/>
      <c r="Y13" s="597" t="e">
        <f t="shared" ref="Y13:Y15" si="53">(W13/X13)-1</f>
        <v>#DIV/0!</v>
      </c>
      <c r="Z13" s="578"/>
      <c r="AA13" s="579"/>
      <c r="AB13" s="576" t="e">
        <f t="shared" ref="AB13:AB15" si="54">(Z13/AA13)-1</f>
        <v>#DIV/0!</v>
      </c>
      <c r="AC13" s="608"/>
      <c r="AD13" s="609"/>
      <c r="AE13" s="597" t="e">
        <f t="shared" ref="AE13:AE15" si="55">(AC13/AD13)-1</f>
        <v>#DIV/0!</v>
      </c>
      <c r="AF13" s="578"/>
      <c r="AG13" s="579"/>
      <c r="AH13" s="576" t="e">
        <f t="shared" ref="AH13:AH15" si="56">(AF13/AG13)-1</f>
        <v>#DIV/0!</v>
      </c>
      <c r="AI13" s="608"/>
      <c r="AJ13" s="609"/>
      <c r="AK13" s="597" t="e">
        <f t="shared" ref="AK13:AK15" si="57">(AI13/AJ13)-1</f>
        <v>#DIV/0!</v>
      </c>
      <c r="AL13" s="578"/>
      <c r="AM13" s="579"/>
      <c r="AN13" s="576" t="e">
        <f t="shared" ref="AN13:AN15" si="58">(AL13/AM13)-1</f>
        <v>#DIV/0!</v>
      </c>
      <c r="AO13" s="628">
        <f>E13+H13+K13+N13+Q13+T13+W13+AA13+AC13+AF13+AJ13+AM13</f>
        <v>0</v>
      </c>
      <c r="AP13" s="629">
        <f>F13+I13+L13+O13+R13+U13+X13+AA13+AD13+AG13+AJ13+AM13</f>
        <v>0</v>
      </c>
      <c r="AQ13" s="638" t="e">
        <f t="shared" ref="AQ13:AQ15" si="59">(AO13/AP13)-1</f>
        <v>#DIV/0!</v>
      </c>
    </row>
    <row r="14" spans="1:43" ht="24" customHeight="1" thickTop="1" thickBot="1" x14ac:dyDescent="0.3">
      <c r="A14" s="565">
        <v>759</v>
      </c>
      <c r="B14" s="1699" t="s">
        <v>604</v>
      </c>
      <c r="C14" s="1700"/>
      <c r="D14" s="1701"/>
      <c r="E14" s="750">
        <v>0</v>
      </c>
      <c r="F14" s="751"/>
      <c r="G14" s="752" t="e">
        <f t="shared" si="47"/>
        <v>#DIV/0!</v>
      </c>
      <c r="H14" s="753">
        <v>0</v>
      </c>
      <c r="I14" s="754"/>
      <c r="J14" s="755" t="e">
        <f t="shared" si="48"/>
        <v>#DIV/0!</v>
      </c>
      <c r="K14" s="750">
        <v>0</v>
      </c>
      <c r="L14" s="751"/>
      <c r="M14" s="752" t="e">
        <f t="shared" si="49"/>
        <v>#DIV/0!</v>
      </c>
      <c r="N14" s="753">
        <v>0</v>
      </c>
      <c r="O14" s="754"/>
      <c r="P14" s="755" t="e">
        <f t="shared" si="50"/>
        <v>#DIV/0!</v>
      </c>
      <c r="Q14" s="750">
        <v>0</v>
      </c>
      <c r="R14" s="751"/>
      <c r="S14" s="597" t="e">
        <f t="shared" si="51"/>
        <v>#DIV/0!</v>
      </c>
      <c r="T14" s="578"/>
      <c r="U14" s="579"/>
      <c r="V14" s="576" t="e">
        <f t="shared" si="52"/>
        <v>#DIV/0!</v>
      </c>
      <c r="W14" s="750"/>
      <c r="X14" s="751"/>
      <c r="Y14" s="597" t="e">
        <f t="shared" si="53"/>
        <v>#DIV/0!</v>
      </c>
      <c r="Z14" s="753"/>
      <c r="AA14" s="754"/>
      <c r="AB14" s="576" t="e">
        <f t="shared" si="54"/>
        <v>#DIV/0!</v>
      </c>
      <c r="AC14" s="608"/>
      <c r="AD14" s="609"/>
      <c r="AE14" s="597" t="e">
        <f t="shared" si="55"/>
        <v>#DIV/0!</v>
      </c>
      <c r="AF14" s="578"/>
      <c r="AG14" s="579"/>
      <c r="AH14" s="576" t="e">
        <f t="shared" si="56"/>
        <v>#DIV/0!</v>
      </c>
      <c r="AI14" s="608"/>
      <c r="AJ14" s="609"/>
      <c r="AK14" s="597" t="e">
        <f t="shared" si="57"/>
        <v>#DIV/0!</v>
      </c>
      <c r="AL14" s="578"/>
      <c r="AM14" s="579"/>
      <c r="AN14" s="576" t="e">
        <f t="shared" si="58"/>
        <v>#DIV/0!</v>
      </c>
      <c r="AO14" s="628">
        <f>E14+H14+K14+N14+Q14+T14+W14+AA14+AC14+AF14+AJ14+AM14</f>
        <v>0</v>
      </c>
      <c r="AP14" s="629">
        <f t="shared" ref="AP14" si="60">F14+I14+L14+O14+R14+U14+X14+AA14+AD14+AG14+AJ14+AM14</f>
        <v>0</v>
      </c>
      <c r="AQ14" s="638" t="e">
        <f t="shared" si="59"/>
        <v>#DIV/0!</v>
      </c>
    </row>
    <row r="15" spans="1:43" ht="24" customHeight="1" thickTop="1" thickBot="1" x14ac:dyDescent="0.3">
      <c r="A15" s="565">
        <v>778</v>
      </c>
      <c r="B15" s="1699" t="s">
        <v>605</v>
      </c>
      <c r="C15" s="1700"/>
      <c r="D15" s="1701"/>
      <c r="E15" s="604">
        <v>0.03</v>
      </c>
      <c r="F15" s="606"/>
      <c r="G15" s="597" t="e">
        <f t="shared" si="47"/>
        <v>#DIV/0!</v>
      </c>
      <c r="H15" s="572">
        <v>151.57</v>
      </c>
      <c r="I15" s="575"/>
      <c r="J15" s="576" t="e">
        <f t="shared" si="48"/>
        <v>#DIV/0!</v>
      </c>
      <c r="K15" s="604">
        <v>1.77</v>
      </c>
      <c r="L15" s="606"/>
      <c r="M15" s="597" t="e">
        <f t="shared" si="49"/>
        <v>#DIV/0!</v>
      </c>
      <c r="N15" s="572">
        <v>0.1</v>
      </c>
      <c r="O15" s="575"/>
      <c r="P15" s="576" t="e">
        <f t="shared" si="50"/>
        <v>#DIV/0!</v>
      </c>
      <c r="Q15" s="604">
        <v>13.49</v>
      </c>
      <c r="R15" s="606"/>
      <c r="S15" s="597" t="e">
        <f t="shared" si="51"/>
        <v>#DIV/0!</v>
      </c>
      <c r="T15" s="572"/>
      <c r="U15" s="575"/>
      <c r="V15" s="576" t="e">
        <f t="shared" si="52"/>
        <v>#DIV/0!</v>
      </c>
      <c r="W15" s="604"/>
      <c r="X15" s="606"/>
      <c r="Y15" s="597" t="e">
        <f t="shared" si="53"/>
        <v>#DIV/0!</v>
      </c>
      <c r="Z15" s="572"/>
      <c r="AA15" s="575"/>
      <c r="AB15" s="576" t="e">
        <f t="shared" si="54"/>
        <v>#DIV/0!</v>
      </c>
      <c r="AC15" s="604"/>
      <c r="AD15" s="606"/>
      <c r="AE15" s="597" t="e">
        <f t="shared" si="55"/>
        <v>#DIV/0!</v>
      </c>
      <c r="AF15" s="572"/>
      <c r="AG15" s="575"/>
      <c r="AH15" s="576" t="e">
        <f t="shared" si="56"/>
        <v>#DIV/0!</v>
      </c>
      <c r="AI15" s="604"/>
      <c r="AJ15" s="606"/>
      <c r="AK15" s="597" t="e">
        <f t="shared" si="57"/>
        <v>#DIV/0!</v>
      </c>
      <c r="AL15" s="572"/>
      <c r="AM15" s="575"/>
      <c r="AN15" s="576" t="e">
        <f t="shared" si="58"/>
        <v>#DIV/0!</v>
      </c>
      <c r="AO15" s="628">
        <f>E15+H15+K15+N15+Q15+T15+W15+Z15+AC15+AF15+AI15+AL15</f>
        <v>166.96</v>
      </c>
      <c r="AP15" s="629">
        <f>F15+I15+L15+O15+R15+U15+X15+AA15+AD15+AG15+AI15+AL15</f>
        <v>0</v>
      </c>
      <c r="AQ15" s="638" t="e">
        <f t="shared" si="59"/>
        <v>#DIV/0!</v>
      </c>
    </row>
    <row r="16" spans="1:43" ht="24" customHeight="1" thickTop="1" thickBot="1" x14ac:dyDescent="0.4">
      <c r="B16" s="1705" t="s">
        <v>153</v>
      </c>
      <c r="C16" s="1714"/>
      <c r="E16" s="611">
        <f>SUM(E17:E20)</f>
        <v>20271.23</v>
      </c>
      <c r="F16" s="611">
        <f>SUM(F17:F20)</f>
        <v>0</v>
      </c>
      <c r="G16" s="612" t="e">
        <f>1-(E16/F16)</f>
        <v>#DIV/0!</v>
      </c>
      <c r="H16" s="593">
        <f t="shared" ref="H16:AG16" si="61">SUM(H17:H20)</f>
        <v>23765.599999999999</v>
      </c>
      <c r="I16" s="593">
        <f t="shared" si="61"/>
        <v>0</v>
      </c>
      <c r="J16" s="594" t="e">
        <f>1-(H16/I16)</f>
        <v>#DIV/0!</v>
      </c>
      <c r="K16" s="626">
        <f t="shared" si="61"/>
        <v>20914.5</v>
      </c>
      <c r="L16" s="626">
        <f t="shared" si="61"/>
        <v>0</v>
      </c>
      <c r="M16" s="627" t="e">
        <f>1-(K16/L16)</f>
        <v>#DIV/0!</v>
      </c>
      <c r="N16" s="593">
        <f t="shared" si="61"/>
        <v>20754.8</v>
      </c>
      <c r="O16" s="593">
        <f t="shared" si="61"/>
        <v>0</v>
      </c>
      <c r="P16" s="594" t="e">
        <f>1-(N16/O16)</f>
        <v>#DIV/0!</v>
      </c>
      <c r="Q16" s="626">
        <f t="shared" si="61"/>
        <v>21988.620000000003</v>
      </c>
      <c r="R16" s="626">
        <f t="shared" si="61"/>
        <v>0</v>
      </c>
      <c r="S16" s="627" t="e">
        <f>1-(Q16/R16)</f>
        <v>#DIV/0!</v>
      </c>
      <c r="T16" s="593">
        <f t="shared" si="61"/>
        <v>0</v>
      </c>
      <c r="U16" s="593">
        <f t="shared" si="61"/>
        <v>0</v>
      </c>
      <c r="V16" s="594" t="e">
        <f>1-(T16/U16)</f>
        <v>#DIV/0!</v>
      </c>
      <c r="W16" s="626">
        <f t="shared" si="61"/>
        <v>0</v>
      </c>
      <c r="X16" s="626">
        <f>SUM(X17:X20)</f>
        <v>0</v>
      </c>
      <c r="Y16" s="627" t="e">
        <f>1-(W16/X16)</f>
        <v>#DIV/0!</v>
      </c>
      <c r="Z16" s="593">
        <f t="shared" si="61"/>
        <v>0</v>
      </c>
      <c r="AA16" s="593">
        <f t="shared" si="61"/>
        <v>0</v>
      </c>
      <c r="AB16" s="594" t="e">
        <f>1-(Z16/AA16)</f>
        <v>#DIV/0!</v>
      </c>
      <c r="AC16" s="607">
        <f t="shared" ref="AC16" si="62">SUM(AC17:AC20)</f>
        <v>0</v>
      </c>
      <c r="AD16" s="607">
        <f t="shared" ref="AD16" si="63">SUM(AD17:AD20)</f>
        <v>0</v>
      </c>
      <c r="AE16" s="598" t="e">
        <f>1-(AC16/AD16)</f>
        <v>#DIV/0!</v>
      </c>
      <c r="AF16" s="593">
        <f t="shared" si="61"/>
        <v>0</v>
      </c>
      <c r="AG16" s="593">
        <f t="shared" si="61"/>
        <v>0</v>
      </c>
      <c r="AH16" s="594" t="e">
        <f>1-(AF16/AG16)</f>
        <v>#DIV/0!</v>
      </c>
      <c r="AI16" s="626">
        <f t="shared" ref="AI16" si="64">SUM(AI17:AI20)</f>
        <v>0</v>
      </c>
      <c r="AJ16" s="626">
        <f t="shared" ref="AJ16" si="65">SUM(AJ17:AJ20)</f>
        <v>0</v>
      </c>
      <c r="AK16" s="627" t="e">
        <f>1-(AI16/AJ16)</f>
        <v>#DIV/0!</v>
      </c>
      <c r="AL16" s="593">
        <f t="shared" ref="AL16" si="66">SUM(AL17:AL20)</f>
        <v>0</v>
      </c>
      <c r="AM16" s="593">
        <f t="shared" ref="AM16" si="67">SUM(AM17:AM20)</f>
        <v>0</v>
      </c>
      <c r="AN16" s="594" t="e">
        <f>1-(AL16/AM16)</f>
        <v>#DIV/0!</v>
      </c>
      <c r="AO16" s="633">
        <f>SUM(AO17:AO20)</f>
        <v>107694.75</v>
      </c>
      <c r="AP16" s="633">
        <f>SUM(AP17:AP20)</f>
        <v>0</v>
      </c>
      <c r="AQ16" s="639" t="e">
        <f>1-(AO16/AP16)</f>
        <v>#DIV/0!</v>
      </c>
    </row>
    <row r="17" spans="1:43" ht="24" customHeight="1" thickTop="1" thickBot="1" x14ac:dyDescent="0.3">
      <c r="A17" s="565">
        <v>640</v>
      </c>
      <c r="B17" s="1699" t="s">
        <v>606</v>
      </c>
      <c r="C17" s="1700"/>
      <c r="D17" s="1701"/>
      <c r="E17" s="608">
        <v>15494.68</v>
      </c>
      <c r="F17" s="613"/>
      <c r="G17" s="599" t="e">
        <f>1-(E17/F17)</f>
        <v>#DIV/0!</v>
      </c>
      <c r="H17" s="578">
        <v>18807.89</v>
      </c>
      <c r="I17" s="581"/>
      <c r="J17" s="580" t="e">
        <f>1-(H17/I17)</f>
        <v>#DIV/0!</v>
      </c>
      <c r="K17" s="608">
        <v>15892.18</v>
      </c>
      <c r="L17" s="613"/>
      <c r="M17" s="599" t="e">
        <f>1-(K17/L17)</f>
        <v>#DIV/0!</v>
      </c>
      <c r="N17" s="578">
        <v>15971.17</v>
      </c>
      <c r="O17" s="581"/>
      <c r="P17" s="580" t="e">
        <f>1-(N17/O17)</f>
        <v>#DIV/0!</v>
      </c>
      <c r="Q17" s="608">
        <v>17206.330000000002</v>
      </c>
      <c r="R17" s="613"/>
      <c r="S17" s="599" t="e">
        <f>1-(Q17/R17)</f>
        <v>#DIV/0!</v>
      </c>
      <c r="T17" s="578"/>
      <c r="U17" s="581"/>
      <c r="V17" s="580" t="e">
        <f>1-(T17/U17)</f>
        <v>#DIV/0!</v>
      </c>
      <c r="W17" s="608"/>
      <c r="X17" s="613"/>
      <c r="Y17" s="599" t="e">
        <f>1-(W17/X17)</f>
        <v>#DIV/0!</v>
      </c>
      <c r="Z17" s="578"/>
      <c r="AA17" s="581"/>
      <c r="AB17" s="580" t="e">
        <f>1-(Z17/AA17)</f>
        <v>#DIV/0!</v>
      </c>
      <c r="AC17" s="608"/>
      <c r="AD17" s="613"/>
      <c r="AE17" s="599" t="e">
        <f>1-(AC17/AD17)</f>
        <v>#DIV/0!</v>
      </c>
      <c r="AF17" s="578"/>
      <c r="AG17" s="581"/>
      <c r="AH17" s="580" t="e">
        <f>1-(AF17/AG17)</f>
        <v>#DIV/0!</v>
      </c>
      <c r="AI17" s="608"/>
      <c r="AJ17" s="613"/>
      <c r="AK17" s="599" t="e">
        <f>1-(AI17/AJ17)</f>
        <v>#DIV/0!</v>
      </c>
      <c r="AL17" s="578"/>
      <c r="AM17" s="581"/>
      <c r="AN17" s="580" t="e">
        <f>1-(AL17/AM17)</f>
        <v>#DIV/0!</v>
      </c>
      <c r="AO17" s="628">
        <f>E17+H17+K17+N17+Q17+T17+W17+Z17+AC17+AF17+AI17+AL17</f>
        <v>83372.25</v>
      </c>
      <c r="AP17" s="629">
        <f>F17+I17+L17+O17+R17+U17+X17+AA17+AD17+AG17+AJ17+AM17</f>
        <v>0</v>
      </c>
      <c r="AQ17" s="640" t="e">
        <f>1-(AO17/AP17)</f>
        <v>#DIV/0!</v>
      </c>
    </row>
    <row r="18" spans="1:43" ht="24" customHeight="1" thickTop="1" thickBot="1" x14ac:dyDescent="0.3">
      <c r="A18" s="565">
        <v>641</v>
      </c>
      <c r="B18" s="1699" t="s">
        <v>607</v>
      </c>
      <c r="C18" s="1700"/>
      <c r="D18" s="1701"/>
      <c r="E18" s="604">
        <v>0</v>
      </c>
      <c r="F18" s="606"/>
      <c r="G18" s="599" t="e">
        <f t="shared" ref="G18:G20" si="68">1-(E18/F18)</f>
        <v>#DIV/0!</v>
      </c>
      <c r="H18" s="572">
        <v>0</v>
      </c>
      <c r="I18" s="575"/>
      <c r="J18" s="580" t="e">
        <f t="shared" ref="J18:J20" si="69">1-(H18/I18)</f>
        <v>#DIV/0!</v>
      </c>
      <c r="K18" s="604">
        <v>0</v>
      </c>
      <c r="L18" s="606"/>
      <c r="M18" s="599" t="e">
        <f t="shared" ref="M18:M20" si="70">1-(K18/L18)</f>
        <v>#DIV/0!</v>
      </c>
      <c r="N18" s="572">
        <v>0</v>
      </c>
      <c r="O18" s="575"/>
      <c r="P18" s="580" t="e">
        <f t="shared" ref="P18:P20" si="71">1-(N18/O18)</f>
        <v>#DIV/0!</v>
      </c>
      <c r="Q18" s="604">
        <v>0</v>
      </c>
      <c r="R18" s="606"/>
      <c r="S18" s="599" t="e">
        <f t="shared" ref="S18:S20" si="72">1-(Q18/R18)</f>
        <v>#DIV/0!</v>
      </c>
      <c r="T18" s="657"/>
      <c r="U18" s="575"/>
      <c r="V18" s="580" t="e">
        <f t="shared" ref="V18:V20" si="73">1-(T18/U18)</f>
        <v>#DIV/0!</v>
      </c>
      <c r="W18" s="604"/>
      <c r="X18" s="606"/>
      <c r="Y18" s="599" t="e">
        <f t="shared" ref="Y18:Y20" si="74">1-(W18/X18)</f>
        <v>#DIV/0!</v>
      </c>
      <c r="Z18" s="572"/>
      <c r="AA18" s="575"/>
      <c r="AB18" s="580" t="e">
        <f t="shared" ref="AB18:AB20" si="75">1-(Z18/AA18)</f>
        <v>#DIV/0!</v>
      </c>
      <c r="AC18" s="604"/>
      <c r="AD18" s="606"/>
      <c r="AE18" s="599" t="e">
        <f t="shared" ref="AE18:AE20" si="76">1-(AC18/AD18)</f>
        <v>#DIV/0!</v>
      </c>
      <c r="AF18" s="572"/>
      <c r="AG18" s="575"/>
      <c r="AH18" s="580" t="e">
        <f t="shared" ref="AH18:AH20" si="77">1-(AF18/AG18)</f>
        <v>#DIV/0!</v>
      </c>
      <c r="AI18" s="604"/>
      <c r="AJ18" s="606"/>
      <c r="AK18" s="599" t="e">
        <f t="shared" ref="AK18:AK20" si="78">1-(AI18/AJ18)</f>
        <v>#DIV/0!</v>
      </c>
      <c r="AL18" s="572"/>
      <c r="AM18" s="575"/>
      <c r="AN18" s="580" t="e">
        <f t="shared" ref="AN18:AN20" si="79">1-(AL18/AM18)</f>
        <v>#DIV/0!</v>
      </c>
      <c r="AO18" s="628">
        <f>E18+H18+K18+N18+Q18+T18+W18+Z18+AC18+AF18+AI18+AL18</f>
        <v>0</v>
      </c>
      <c r="AP18" s="629">
        <f t="shared" ref="AP18:AP20" si="80">F18+I18+L18+O18+R18+U18+X18+AA18+AD18+AG18+AJ18+AM18</f>
        <v>0</v>
      </c>
      <c r="AQ18" s="640" t="e">
        <f t="shared" ref="AQ18:AQ20" si="81">1-(AO18/AP18)</f>
        <v>#DIV/0!</v>
      </c>
    </row>
    <row r="19" spans="1:43" ht="24" customHeight="1" thickTop="1" thickBot="1" x14ac:dyDescent="0.3">
      <c r="A19" s="565">
        <v>642</v>
      </c>
      <c r="B19" s="1699" t="s">
        <v>608</v>
      </c>
      <c r="C19" s="1700"/>
      <c r="D19" s="1701"/>
      <c r="E19" s="614">
        <v>4776.55</v>
      </c>
      <c r="F19" s="615"/>
      <c r="G19" s="599" t="e">
        <f t="shared" si="68"/>
        <v>#DIV/0!</v>
      </c>
      <c r="H19" s="582">
        <v>4957.71</v>
      </c>
      <c r="I19" s="583"/>
      <c r="J19" s="580" t="e">
        <f t="shared" si="69"/>
        <v>#DIV/0!</v>
      </c>
      <c r="K19" s="614">
        <v>4784.82</v>
      </c>
      <c r="L19" s="615"/>
      <c r="M19" s="599" t="e">
        <f t="shared" si="70"/>
        <v>#DIV/0!</v>
      </c>
      <c r="N19" s="582">
        <v>4783.63</v>
      </c>
      <c r="O19" s="583"/>
      <c r="P19" s="580" t="e">
        <f t="shared" si="71"/>
        <v>#DIV/0!</v>
      </c>
      <c r="Q19" s="614">
        <v>4782.29</v>
      </c>
      <c r="R19" s="615"/>
      <c r="S19" s="599" t="e">
        <f t="shared" si="72"/>
        <v>#DIV/0!</v>
      </c>
      <c r="T19" s="658"/>
      <c r="U19" s="583"/>
      <c r="V19" s="580" t="e">
        <f t="shared" si="73"/>
        <v>#DIV/0!</v>
      </c>
      <c r="W19" s="614"/>
      <c r="X19" s="615"/>
      <c r="Y19" s="599" t="e">
        <f t="shared" si="74"/>
        <v>#DIV/0!</v>
      </c>
      <c r="Z19" s="582"/>
      <c r="AA19" s="583"/>
      <c r="AB19" s="580" t="e">
        <f t="shared" si="75"/>
        <v>#DIV/0!</v>
      </c>
      <c r="AC19" s="614"/>
      <c r="AD19" s="615"/>
      <c r="AE19" s="599" t="e">
        <f t="shared" si="76"/>
        <v>#DIV/0!</v>
      </c>
      <c r="AF19" s="582"/>
      <c r="AG19" s="583"/>
      <c r="AH19" s="580" t="e">
        <f t="shared" si="77"/>
        <v>#DIV/0!</v>
      </c>
      <c r="AI19" s="614"/>
      <c r="AJ19" s="615"/>
      <c r="AK19" s="599" t="e">
        <f t="shared" si="78"/>
        <v>#DIV/0!</v>
      </c>
      <c r="AL19" s="582"/>
      <c r="AM19" s="583"/>
      <c r="AN19" s="580" t="e">
        <f t="shared" si="79"/>
        <v>#DIV/0!</v>
      </c>
      <c r="AO19" s="628">
        <f>E19+H19+K19+N19+Q19+T19+W19+Z19+AC19+AF19+AI19+AL19</f>
        <v>24085</v>
      </c>
      <c r="AP19" s="629">
        <f t="shared" si="80"/>
        <v>0</v>
      </c>
      <c r="AQ19" s="640" t="e">
        <f t="shared" si="81"/>
        <v>#DIV/0!</v>
      </c>
    </row>
    <row r="20" spans="1:43" ht="24" customHeight="1" thickTop="1" thickBot="1" x14ac:dyDescent="0.3">
      <c r="A20" s="565">
        <v>649</v>
      </c>
      <c r="B20" s="1699" t="s">
        <v>609</v>
      </c>
      <c r="C20" s="1700"/>
      <c r="D20" s="1701"/>
      <c r="E20" s="616">
        <v>0</v>
      </c>
      <c r="F20" s="617"/>
      <c r="G20" s="599" t="e">
        <f t="shared" si="68"/>
        <v>#DIV/0!</v>
      </c>
      <c r="H20" s="654">
        <v>0</v>
      </c>
      <c r="I20" s="584"/>
      <c r="J20" s="580" t="e">
        <f t="shared" si="69"/>
        <v>#DIV/0!</v>
      </c>
      <c r="K20" s="616">
        <v>237.5</v>
      </c>
      <c r="L20" s="617"/>
      <c r="M20" s="599" t="e">
        <f t="shared" si="70"/>
        <v>#DIV/0!</v>
      </c>
      <c r="N20" s="572">
        <v>0</v>
      </c>
      <c r="O20" s="584"/>
      <c r="P20" s="580" t="e">
        <f t="shared" si="71"/>
        <v>#DIV/0!</v>
      </c>
      <c r="Q20" s="616">
        <v>0</v>
      </c>
      <c r="R20" s="617"/>
      <c r="S20" s="599" t="e">
        <f t="shared" si="72"/>
        <v>#DIV/0!</v>
      </c>
      <c r="T20" s="654"/>
      <c r="U20" s="584"/>
      <c r="V20" s="580" t="e">
        <f t="shared" si="73"/>
        <v>#DIV/0!</v>
      </c>
      <c r="W20" s="616"/>
      <c r="X20" s="617"/>
      <c r="Y20" s="599" t="e">
        <f t="shared" si="74"/>
        <v>#DIV/0!</v>
      </c>
      <c r="Z20" s="654"/>
      <c r="AA20" s="584"/>
      <c r="AB20" s="580" t="e">
        <f t="shared" si="75"/>
        <v>#DIV/0!</v>
      </c>
      <c r="AC20" s="616"/>
      <c r="AD20" s="617"/>
      <c r="AE20" s="599" t="e">
        <f t="shared" si="76"/>
        <v>#DIV/0!</v>
      </c>
      <c r="AF20" s="654"/>
      <c r="AG20" s="584"/>
      <c r="AH20" s="580" t="e">
        <f t="shared" si="77"/>
        <v>#DIV/0!</v>
      </c>
      <c r="AI20" s="616"/>
      <c r="AJ20" s="617"/>
      <c r="AK20" s="599" t="e">
        <f t="shared" si="78"/>
        <v>#DIV/0!</v>
      </c>
      <c r="AL20" s="582"/>
      <c r="AM20" s="584"/>
      <c r="AN20" s="580" t="e">
        <f t="shared" si="79"/>
        <v>#DIV/0!</v>
      </c>
      <c r="AO20" s="628">
        <f>E20+H20+K20+N20+Q20+T20+W20+Z20+AC20+AF20+AI20+AL20</f>
        <v>237.5</v>
      </c>
      <c r="AP20" s="629">
        <f t="shared" si="80"/>
        <v>0</v>
      </c>
      <c r="AQ20" s="640" t="e">
        <f t="shared" si="81"/>
        <v>#DIV/0!</v>
      </c>
    </row>
    <row r="21" spans="1:43" ht="24" customHeight="1" thickTop="1" thickBot="1" x14ac:dyDescent="0.4">
      <c r="B21" s="1713" t="s">
        <v>610</v>
      </c>
      <c r="C21" s="1713"/>
      <c r="D21" s="1713"/>
      <c r="E21" s="611">
        <f>SUM(E22:E31)</f>
        <v>29485.160000000003</v>
      </c>
      <c r="F21" s="611">
        <f>SUM(F22:F31)</f>
        <v>0</v>
      </c>
      <c r="G21" s="612" t="e">
        <f>1-(E21/F21)</f>
        <v>#DIV/0!</v>
      </c>
      <c r="H21" s="593">
        <f t="shared" ref="H21:AG21" si="82">SUM(H22:H31)</f>
        <v>29552.91</v>
      </c>
      <c r="I21" s="593">
        <f t="shared" si="82"/>
        <v>0</v>
      </c>
      <c r="J21" s="594" t="e">
        <f>1-(H21/I21)</f>
        <v>#DIV/0!</v>
      </c>
      <c r="K21" s="626">
        <f t="shared" si="82"/>
        <v>26899.35</v>
      </c>
      <c r="L21" s="626">
        <f t="shared" si="82"/>
        <v>0</v>
      </c>
      <c r="M21" s="627" t="e">
        <f>1-(K21/L21)</f>
        <v>#DIV/0!</v>
      </c>
      <c r="N21" s="593">
        <f t="shared" si="82"/>
        <v>19948</v>
      </c>
      <c r="O21" s="593">
        <f t="shared" si="82"/>
        <v>0</v>
      </c>
      <c r="P21" s="594" t="e">
        <f>1-(N21/O21)</f>
        <v>#DIV/0!</v>
      </c>
      <c r="Q21" s="626">
        <f t="shared" si="82"/>
        <v>37859.620000000003</v>
      </c>
      <c r="R21" s="626">
        <f t="shared" si="82"/>
        <v>0</v>
      </c>
      <c r="S21" s="627" t="e">
        <f>1-(Q21/R21)</f>
        <v>#DIV/0!</v>
      </c>
      <c r="T21" s="593">
        <f t="shared" si="82"/>
        <v>1119.9100000000001</v>
      </c>
      <c r="U21" s="593">
        <f t="shared" si="82"/>
        <v>0</v>
      </c>
      <c r="V21" s="594" t="e">
        <f>1-(T21/U21)</f>
        <v>#DIV/0!</v>
      </c>
      <c r="W21" s="626">
        <f t="shared" si="82"/>
        <v>2800.44</v>
      </c>
      <c r="X21" s="626">
        <f>SUM(X22:X31)</f>
        <v>0</v>
      </c>
      <c r="Y21" s="627" t="e">
        <f>1-(W21/X21)</f>
        <v>#DIV/0!</v>
      </c>
      <c r="Z21" s="593">
        <f t="shared" si="82"/>
        <v>877.72</v>
      </c>
      <c r="AA21" s="593">
        <f t="shared" si="82"/>
        <v>0</v>
      </c>
      <c r="AB21" s="594" t="e">
        <f>1-(Z21/AA21)</f>
        <v>#DIV/0!</v>
      </c>
      <c r="AC21" s="607">
        <f t="shared" ref="AC21" si="83">SUM(AC22:AC31)</f>
        <v>2332.56</v>
      </c>
      <c r="AD21" s="607">
        <f t="shared" ref="AD21" si="84">SUM(AD22:AD31)</f>
        <v>0</v>
      </c>
      <c r="AE21" s="598" t="e">
        <f>1-(AC21/AD21)</f>
        <v>#DIV/0!</v>
      </c>
      <c r="AF21" s="593">
        <f t="shared" si="82"/>
        <v>3625.6400000000003</v>
      </c>
      <c r="AG21" s="593">
        <f t="shared" si="82"/>
        <v>0</v>
      </c>
      <c r="AH21" s="594" t="e">
        <f>1-(AF21/AG21)</f>
        <v>#DIV/0!</v>
      </c>
      <c r="AI21" s="626">
        <f t="shared" ref="AI21" si="85">SUM(AI22:AI31)</f>
        <v>1630.56</v>
      </c>
      <c r="AJ21" s="626">
        <f t="shared" ref="AJ21" si="86">SUM(AJ22:AJ31)</f>
        <v>0</v>
      </c>
      <c r="AK21" s="627" t="e">
        <f>1-(AI21/AJ21)</f>
        <v>#DIV/0!</v>
      </c>
      <c r="AL21" s="593">
        <f t="shared" ref="AL21" si="87">SUM(AL22:AL31)</f>
        <v>3796.1</v>
      </c>
      <c r="AM21" s="593">
        <f t="shared" ref="AM21" si="88">SUM(AM22:AM31)</f>
        <v>0</v>
      </c>
      <c r="AN21" s="594" t="e">
        <f>1-(AL21/AM21)</f>
        <v>#DIV/0!</v>
      </c>
      <c r="AO21" s="633">
        <f>SUM(AO22:AO31)</f>
        <v>159927.96999999997</v>
      </c>
      <c r="AP21" s="633">
        <f>SUM(AP22:AP31)</f>
        <v>0</v>
      </c>
      <c r="AQ21" s="639" t="e">
        <f>1-(AO21/AP21)</f>
        <v>#DIV/0!</v>
      </c>
    </row>
    <row r="22" spans="1:43" ht="24" customHeight="1" thickTop="1" thickBot="1" x14ac:dyDescent="0.3">
      <c r="A22" s="565">
        <v>621</v>
      </c>
      <c r="B22" s="1699" t="s">
        <v>611</v>
      </c>
      <c r="C22" s="1700"/>
      <c r="D22" s="1701"/>
      <c r="E22" s="618">
        <v>1037.5</v>
      </c>
      <c r="F22" s="619"/>
      <c r="G22" s="599" t="e">
        <f>1-(E22/F22)</f>
        <v>#DIV/0!</v>
      </c>
      <c r="H22" s="585">
        <v>705.5</v>
      </c>
      <c r="I22" s="586"/>
      <c r="J22" s="580" t="e">
        <f>1-(H22/I22)</f>
        <v>#DIV/0!</v>
      </c>
      <c r="K22" s="618">
        <v>705.5</v>
      </c>
      <c r="L22" s="619"/>
      <c r="M22" s="599" t="e">
        <f>1-(K22/L22)</f>
        <v>#DIV/0!</v>
      </c>
      <c r="N22" s="585">
        <v>705.5</v>
      </c>
      <c r="O22" s="586"/>
      <c r="P22" s="580" t="e">
        <f>1-(N22/O22)</f>
        <v>#DIV/0!</v>
      </c>
      <c r="Q22" s="618">
        <v>705.5</v>
      </c>
      <c r="R22" s="619"/>
      <c r="S22" s="599" t="e">
        <f>1-(Q22/R22)</f>
        <v>#DIV/0!</v>
      </c>
      <c r="T22" s="585"/>
      <c r="U22" s="586"/>
      <c r="V22" s="580" t="e">
        <f>1-(T22/U22)</f>
        <v>#DIV/0!</v>
      </c>
      <c r="W22" s="618"/>
      <c r="X22" s="619"/>
      <c r="Y22" s="599" t="e">
        <f>1-(W22/X22)</f>
        <v>#DIV/0!</v>
      </c>
      <c r="Z22" s="585"/>
      <c r="AA22" s="586"/>
      <c r="AB22" s="580" t="e">
        <f>1-(Z22/AA22)</f>
        <v>#DIV/0!</v>
      </c>
      <c r="AC22" s="618"/>
      <c r="AD22" s="619"/>
      <c r="AE22" s="599" t="e">
        <f>1-(AC22/AD22)</f>
        <v>#DIV/0!</v>
      </c>
      <c r="AF22" s="585"/>
      <c r="AG22" s="586"/>
      <c r="AH22" s="580" t="e">
        <f>1-(AF22/AG22)</f>
        <v>#DIV/0!</v>
      </c>
      <c r="AI22" s="618"/>
      <c r="AJ22" s="619"/>
      <c r="AK22" s="599" t="e">
        <f>1-(AI22/AJ22)</f>
        <v>#DIV/0!</v>
      </c>
      <c r="AL22" s="585"/>
      <c r="AM22" s="586"/>
      <c r="AN22" s="580" t="e">
        <f>1-(AL22/AM22)</f>
        <v>#DIV/0!</v>
      </c>
      <c r="AO22" s="628">
        <f>E22+H22+K22+N22+Q22+T22+W22+Z22+AC22+AF22+AI22+AL22</f>
        <v>3859.5</v>
      </c>
      <c r="AP22" s="629">
        <f>F22+I22+L22+O22+R22+U22+X22+AA22+AD22+AG22+AJ22+AM22</f>
        <v>0</v>
      </c>
      <c r="AQ22" s="640" t="e">
        <f>1-(AO22/AP22)</f>
        <v>#DIV/0!</v>
      </c>
    </row>
    <row r="23" spans="1:43" ht="24" customHeight="1" thickTop="1" thickBot="1" x14ac:dyDescent="0.3">
      <c r="A23" s="565">
        <v>622</v>
      </c>
      <c r="B23" s="1699" t="s">
        <v>612</v>
      </c>
      <c r="C23" s="1700"/>
      <c r="D23" s="1701"/>
      <c r="E23" s="614">
        <f>DATOS!D15</f>
        <v>2871.67</v>
      </c>
      <c r="F23" s="615"/>
      <c r="G23" s="599" t="e">
        <f t="shared" ref="G23:G32" si="89">1-(E23/F23)</f>
        <v>#DIV/0!</v>
      </c>
      <c r="H23" s="582">
        <f>DATOS!F15</f>
        <v>1940.08</v>
      </c>
      <c r="I23" s="583"/>
      <c r="J23" s="580" t="e">
        <f t="shared" ref="J23:J32" si="90">1-(H23/I23)</f>
        <v>#DIV/0!</v>
      </c>
      <c r="K23" s="614">
        <f>DATOS!H15</f>
        <v>1297.77</v>
      </c>
      <c r="L23" s="615"/>
      <c r="M23" s="599" t="e">
        <f t="shared" ref="M23:M32" si="91">1-(K23/L23)</f>
        <v>#DIV/0!</v>
      </c>
      <c r="N23" s="582">
        <f>DATOS!J15</f>
        <v>1666.2</v>
      </c>
      <c r="O23" s="583"/>
      <c r="P23" s="580" t="e">
        <f t="shared" ref="P23:P32" si="92">1-(N23/O23)</f>
        <v>#DIV/0!</v>
      </c>
      <c r="Q23" s="614">
        <f>DATOS!L15</f>
        <v>1960.08</v>
      </c>
      <c r="R23" s="615"/>
      <c r="S23" s="599" t="e">
        <f t="shared" ref="S23:S32" si="93">1-(Q23/R23)</f>
        <v>#DIV/0!</v>
      </c>
      <c r="T23" s="582">
        <f>DATOS!N15</f>
        <v>432.41</v>
      </c>
      <c r="U23" s="583"/>
      <c r="V23" s="580" t="e">
        <f t="shared" ref="V23:V32" si="94">1-(T23/U23)</f>
        <v>#DIV/0!</v>
      </c>
      <c r="W23" s="614">
        <f>DATOS!P15</f>
        <v>792.13</v>
      </c>
      <c r="X23" s="615"/>
      <c r="Y23" s="599" t="e">
        <f t="shared" ref="Y23:Y32" si="95">1-(W23/X23)</f>
        <v>#DIV/0!</v>
      </c>
      <c r="Z23" s="582">
        <f>DATOS!R15</f>
        <v>387.73</v>
      </c>
      <c r="AA23" s="583"/>
      <c r="AB23" s="580" t="e">
        <f t="shared" ref="AB23:AB32" si="96">1-(Z23/AA23)</f>
        <v>#DIV/0!</v>
      </c>
      <c r="AC23" s="614">
        <f>DATOS!T15</f>
        <v>992.82</v>
      </c>
      <c r="AD23" s="615"/>
      <c r="AE23" s="599" t="e">
        <f t="shared" ref="AE23:AE32" si="97">1-(AC23/AD23)</f>
        <v>#DIV/0!</v>
      </c>
      <c r="AF23" s="582">
        <f>DATOS!V15</f>
        <v>2760.32</v>
      </c>
      <c r="AG23" s="583"/>
      <c r="AH23" s="580" t="e">
        <f t="shared" ref="AH23:AH32" si="98">1-(AF23/AG23)</f>
        <v>#DIV/0!</v>
      </c>
      <c r="AI23" s="614">
        <f>DATOS!X15</f>
        <v>299.92</v>
      </c>
      <c r="AJ23" s="615"/>
      <c r="AK23" s="599" t="e">
        <f t="shared" ref="AK23:AK32" si="99">1-(AI23/AJ23)</f>
        <v>#DIV/0!</v>
      </c>
      <c r="AL23" s="582">
        <f>DATOS!Z15</f>
        <v>3022.18</v>
      </c>
      <c r="AM23" s="583"/>
      <c r="AN23" s="580" t="e">
        <f t="shared" ref="AN23:AN32" si="100">1-(AL23/AM23)</f>
        <v>#DIV/0!</v>
      </c>
      <c r="AO23" s="628">
        <f t="shared" ref="AO23:AO32" si="101">E23+H23+K23+N23+Q23+T23+W23+Z23+AC23+AF23+AI23+AL23</f>
        <v>18423.309999999998</v>
      </c>
      <c r="AP23" s="629">
        <f t="shared" ref="AP23:AP31" si="102">F23+I23+L23+O23+R23+U23+X23+AA23+AD23+AG23+AJ23+AM23</f>
        <v>0</v>
      </c>
      <c r="AQ23" s="640" t="e">
        <f t="shared" ref="AQ23:AQ32" si="103">1-(AO23/AP23)</f>
        <v>#DIV/0!</v>
      </c>
    </row>
    <row r="24" spans="1:43" ht="24" customHeight="1" thickTop="1" thickBot="1" x14ac:dyDescent="0.3">
      <c r="A24" s="565">
        <v>623</v>
      </c>
      <c r="B24" s="1699" t="s">
        <v>613</v>
      </c>
      <c r="C24" s="1700"/>
      <c r="D24" s="1701"/>
      <c r="E24" s="616">
        <v>0</v>
      </c>
      <c r="F24" s="617"/>
      <c r="G24" s="596" t="e">
        <f t="shared" si="89"/>
        <v>#DIV/0!</v>
      </c>
      <c r="H24" s="654">
        <v>0</v>
      </c>
      <c r="I24" s="584"/>
      <c r="J24" s="576" t="e">
        <f t="shared" si="90"/>
        <v>#DIV/0!</v>
      </c>
      <c r="K24" s="616">
        <v>180</v>
      </c>
      <c r="L24" s="617"/>
      <c r="M24" s="596" t="e">
        <f t="shared" si="91"/>
        <v>#DIV/0!</v>
      </c>
      <c r="N24" s="582">
        <v>56.88</v>
      </c>
      <c r="O24" s="584"/>
      <c r="P24" s="574" t="e">
        <f t="shared" si="92"/>
        <v>#DIV/0!</v>
      </c>
      <c r="Q24" s="616">
        <v>556.35</v>
      </c>
      <c r="R24" s="617"/>
      <c r="S24" s="596" t="e">
        <f t="shared" si="93"/>
        <v>#DIV/0!</v>
      </c>
      <c r="T24" s="654"/>
      <c r="U24" s="584"/>
      <c r="V24" s="574" t="e">
        <f t="shared" si="94"/>
        <v>#DIV/0!</v>
      </c>
      <c r="W24" s="616"/>
      <c r="X24" s="617"/>
      <c r="Y24" s="596" t="e">
        <f t="shared" si="95"/>
        <v>#DIV/0!</v>
      </c>
      <c r="Z24" s="654"/>
      <c r="AA24" s="584"/>
      <c r="AB24" s="574" t="e">
        <f t="shared" si="96"/>
        <v>#DIV/0!</v>
      </c>
      <c r="AC24" s="616"/>
      <c r="AD24" s="617"/>
      <c r="AE24" s="597" t="e">
        <f t="shared" si="97"/>
        <v>#DIV/0!</v>
      </c>
      <c r="AF24" s="654"/>
      <c r="AG24" s="584"/>
      <c r="AH24" s="1142" t="e">
        <f t="shared" si="98"/>
        <v>#DIV/0!</v>
      </c>
      <c r="AI24" s="1141"/>
      <c r="AJ24" s="617"/>
      <c r="AK24" s="596" t="e">
        <f t="shared" si="99"/>
        <v>#DIV/0!</v>
      </c>
      <c r="AL24" s="582"/>
      <c r="AM24" s="584"/>
      <c r="AN24" s="574" t="e">
        <f t="shared" si="100"/>
        <v>#DIV/0!</v>
      </c>
      <c r="AO24" s="628">
        <f t="shared" si="101"/>
        <v>793.23</v>
      </c>
      <c r="AP24" s="629">
        <f t="shared" si="102"/>
        <v>0</v>
      </c>
      <c r="AQ24" s="637" t="e">
        <f t="shared" si="103"/>
        <v>#DIV/0!</v>
      </c>
    </row>
    <row r="25" spans="1:43" ht="24" customHeight="1" thickTop="1" thickBot="1" x14ac:dyDescent="0.3">
      <c r="A25" s="565">
        <v>624</v>
      </c>
      <c r="B25" s="1699" t="s">
        <v>614</v>
      </c>
      <c r="C25" s="1700"/>
      <c r="D25" s="1701"/>
      <c r="E25" s="604">
        <f>DATOS!D17</f>
        <v>0</v>
      </c>
      <c r="F25" s="606"/>
      <c r="G25" s="599" t="e">
        <f t="shared" si="89"/>
        <v>#DIV/0!</v>
      </c>
      <c r="H25" s="572">
        <f>DATOS!F17</f>
        <v>10.31</v>
      </c>
      <c r="I25" s="575"/>
      <c r="J25" s="580" t="e">
        <f t="shared" si="90"/>
        <v>#DIV/0!</v>
      </c>
      <c r="K25" s="604">
        <f>DATOS!H17</f>
        <v>0</v>
      </c>
      <c r="L25" s="606"/>
      <c r="M25" s="599" t="e">
        <f t="shared" si="91"/>
        <v>#DIV/0!</v>
      </c>
      <c r="N25" s="572">
        <f>DATOS!J17</f>
        <v>0</v>
      </c>
      <c r="O25" s="575"/>
      <c r="P25" s="580" t="e">
        <f t="shared" si="92"/>
        <v>#DIV/0!</v>
      </c>
      <c r="Q25" s="604">
        <f>DATOS!L17</f>
        <v>0</v>
      </c>
      <c r="R25" s="606"/>
      <c r="S25" s="599" t="e">
        <f t="shared" si="93"/>
        <v>#DIV/0!</v>
      </c>
      <c r="T25" s="572">
        <f>DATOS!N17</f>
        <v>0</v>
      </c>
      <c r="U25" s="575"/>
      <c r="V25" s="580" t="e">
        <f t="shared" si="94"/>
        <v>#DIV/0!</v>
      </c>
      <c r="W25" s="604">
        <f>DATOS!P17</f>
        <v>0</v>
      </c>
      <c r="X25" s="606"/>
      <c r="Y25" s="599" t="e">
        <f t="shared" si="95"/>
        <v>#DIV/0!</v>
      </c>
      <c r="Z25" s="572">
        <f>DATOS!R17</f>
        <v>0</v>
      </c>
      <c r="AA25" s="575"/>
      <c r="AB25" s="580" t="e">
        <f t="shared" si="96"/>
        <v>#DIV/0!</v>
      </c>
      <c r="AC25" s="604">
        <f>DATOS!T17</f>
        <v>0</v>
      </c>
      <c r="AD25" s="606"/>
      <c r="AE25" s="599" t="e">
        <f t="shared" si="97"/>
        <v>#DIV/0!</v>
      </c>
      <c r="AF25" s="572">
        <f>DATOS!V17</f>
        <v>0</v>
      </c>
      <c r="AG25" s="575"/>
      <c r="AH25" s="580" t="e">
        <f t="shared" si="98"/>
        <v>#DIV/0!</v>
      </c>
      <c r="AI25" s="604">
        <f>DATOS!X17</f>
        <v>0</v>
      </c>
      <c r="AJ25" s="606"/>
      <c r="AK25" s="599" t="e">
        <f t="shared" si="99"/>
        <v>#DIV/0!</v>
      </c>
      <c r="AL25" s="572">
        <f>DATOS!Z17</f>
        <v>0</v>
      </c>
      <c r="AM25" s="575"/>
      <c r="AN25" s="580" t="e">
        <f t="shared" si="100"/>
        <v>#DIV/0!</v>
      </c>
      <c r="AO25" s="628">
        <f t="shared" si="101"/>
        <v>10.31</v>
      </c>
      <c r="AP25" s="629">
        <f t="shared" si="102"/>
        <v>0</v>
      </c>
      <c r="AQ25" s="640" t="e">
        <f t="shared" si="103"/>
        <v>#DIV/0!</v>
      </c>
    </row>
    <row r="26" spans="1:43" ht="24" customHeight="1" thickTop="1" thickBot="1" x14ac:dyDescent="0.3">
      <c r="A26" s="565">
        <v>625</v>
      </c>
      <c r="B26" s="1699" t="s">
        <v>615</v>
      </c>
      <c r="C26" s="1700"/>
      <c r="D26" s="1701"/>
      <c r="E26" s="614">
        <v>127.71</v>
      </c>
      <c r="F26" s="615"/>
      <c r="G26" s="599" t="e">
        <f t="shared" si="89"/>
        <v>#DIV/0!</v>
      </c>
      <c r="H26" s="582">
        <v>127.71</v>
      </c>
      <c r="I26" s="583"/>
      <c r="J26" s="580" t="e">
        <f t="shared" si="90"/>
        <v>#DIV/0!</v>
      </c>
      <c r="K26" s="614">
        <v>127.71</v>
      </c>
      <c r="L26" s="615"/>
      <c r="M26" s="599" t="e">
        <f t="shared" si="91"/>
        <v>#DIV/0!</v>
      </c>
      <c r="N26" s="582">
        <v>127.71</v>
      </c>
      <c r="O26" s="583"/>
      <c r="P26" s="580" t="e">
        <f t="shared" si="92"/>
        <v>#DIV/0!</v>
      </c>
      <c r="Q26" s="614">
        <v>127.71</v>
      </c>
      <c r="R26" s="615"/>
      <c r="S26" s="599" t="e">
        <f t="shared" si="93"/>
        <v>#DIV/0!</v>
      </c>
      <c r="T26" s="582"/>
      <c r="U26" s="583"/>
      <c r="V26" s="580" t="e">
        <f t="shared" si="94"/>
        <v>#DIV/0!</v>
      </c>
      <c r="W26" s="614"/>
      <c r="X26" s="615"/>
      <c r="Y26" s="599" t="e">
        <f t="shared" si="95"/>
        <v>#DIV/0!</v>
      </c>
      <c r="Z26" s="582"/>
      <c r="AA26" s="583"/>
      <c r="AB26" s="580" t="e">
        <f t="shared" si="96"/>
        <v>#DIV/0!</v>
      </c>
      <c r="AC26" s="614"/>
      <c r="AD26" s="615"/>
      <c r="AE26" s="599" t="e">
        <f t="shared" si="97"/>
        <v>#DIV/0!</v>
      </c>
      <c r="AF26" s="582"/>
      <c r="AG26" s="583"/>
      <c r="AH26" s="580" t="e">
        <f t="shared" si="98"/>
        <v>#DIV/0!</v>
      </c>
      <c r="AI26" s="614"/>
      <c r="AJ26" s="615"/>
      <c r="AK26" s="599" t="e">
        <f t="shared" si="99"/>
        <v>#DIV/0!</v>
      </c>
      <c r="AL26" s="582"/>
      <c r="AM26" s="583"/>
      <c r="AN26" s="580" t="e">
        <f t="shared" si="100"/>
        <v>#DIV/0!</v>
      </c>
      <c r="AO26" s="628">
        <f t="shared" si="101"/>
        <v>638.54999999999995</v>
      </c>
      <c r="AP26" s="629">
        <f t="shared" si="102"/>
        <v>0</v>
      </c>
      <c r="AQ26" s="640" t="e">
        <f t="shared" si="103"/>
        <v>#DIV/0!</v>
      </c>
    </row>
    <row r="27" spans="1:43" ht="24" customHeight="1" thickTop="1" thickBot="1" x14ac:dyDescent="0.3">
      <c r="A27" s="565">
        <v>626</v>
      </c>
      <c r="B27" s="1699" t="s">
        <v>616</v>
      </c>
      <c r="C27" s="1700"/>
      <c r="D27" s="1701"/>
      <c r="E27" s="616">
        <v>1</v>
      </c>
      <c r="F27" s="617"/>
      <c r="G27" s="596" t="e">
        <f t="shared" si="89"/>
        <v>#DIV/0!</v>
      </c>
      <c r="H27" s="654">
        <v>46.37</v>
      </c>
      <c r="I27" s="584"/>
      <c r="J27" s="574" t="e">
        <f t="shared" si="90"/>
        <v>#DIV/0!</v>
      </c>
      <c r="K27" s="616">
        <v>1</v>
      </c>
      <c r="L27" s="617"/>
      <c r="M27" s="596" t="e">
        <f t="shared" si="91"/>
        <v>#DIV/0!</v>
      </c>
      <c r="N27" s="582">
        <v>1</v>
      </c>
      <c r="O27" s="584"/>
      <c r="P27" s="574" t="e">
        <f t="shared" si="92"/>
        <v>#DIV/0!</v>
      </c>
      <c r="Q27" s="616">
        <v>1</v>
      </c>
      <c r="R27" s="617"/>
      <c r="S27" s="596" t="e">
        <f t="shared" si="93"/>
        <v>#DIV/0!</v>
      </c>
      <c r="T27" s="654"/>
      <c r="U27" s="584"/>
      <c r="V27" s="574" t="e">
        <f t="shared" si="94"/>
        <v>#DIV/0!</v>
      </c>
      <c r="W27" s="616"/>
      <c r="X27" s="617"/>
      <c r="Y27" s="596" t="e">
        <f t="shared" si="95"/>
        <v>#DIV/0!</v>
      </c>
      <c r="Z27" s="654"/>
      <c r="AA27" s="584"/>
      <c r="AB27" s="574" t="e">
        <f t="shared" si="96"/>
        <v>#DIV/0!</v>
      </c>
      <c r="AC27" s="616"/>
      <c r="AD27" s="617"/>
      <c r="AE27" s="597" t="e">
        <f t="shared" si="97"/>
        <v>#DIV/0!</v>
      </c>
      <c r="AF27" s="654"/>
      <c r="AG27" s="584"/>
      <c r="AH27" s="1142" t="e">
        <f t="shared" si="98"/>
        <v>#DIV/0!</v>
      </c>
      <c r="AI27" s="1141"/>
      <c r="AJ27" s="617"/>
      <c r="AK27" s="596" t="e">
        <f t="shared" si="99"/>
        <v>#DIV/0!</v>
      </c>
      <c r="AL27" s="582"/>
      <c r="AM27" s="584"/>
      <c r="AN27" s="574" t="e">
        <f t="shared" si="100"/>
        <v>#DIV/0!</v>
      </c>
      <c r="AO27" s="628">
        <f t="shared" si="101"/>
        <v>50.37</v>
      </c>
      <c r="AP27" s="629">
        <f t="shared" si="102"/>
        <v>0</v>
      </c>
      <c r="AQ27" s="637" t="e">
        <f t="shared" si="103"/>
        <v>#DIV/0!</v>
      </c>
    </row>
    <row r="28" spans="1:43" ht="24" customHeight="1" thickTop="1" thickBot="1" x14ac:dyDescent="0.3">
      <c r="A28" s="565">
        <v>627</v>
      </c>
      <c r="B28" s="1699" t="s">
        <v>617</v>
      </c>
      <c r="C28" s="1700"/>
      <c r="D28" s="1701"/>
      <c r="E28" s="604">
        <f>DATOS!D18</f>
        <v>824.18</v>
      </c>
      <c r="F28" s="606"/>
      <c r="G28" s="599" t="e">
        <f t="shared" si="89"/>
        <v>#DIV/0!</v>
      </c>
      <c r="H28" s="572">
        <f>DATOS!F18</f>
        <v>603.70000000000005</v>
      </c>
      <c r="I28" s="575"/>
      <c r="J28" s="580" t="e">
        <f t="shared" si="90"/>
        <v>#DIV/0!</v>
      </c>
      <c r="K28" s="604">
        <f>DATOS!H18</f>
        <v>392.33</v>
      </c>
      <c r="L28" s="606"/>
      <c r="M28" s="599" t="e">
        <f t="shared" si="91"/>
        <v>#DIV/0!</v>
      </c>
      <c r="N28" s="572">
        <f>DATOS!J18</f>
        <v>559.36</v>
      </c>
      <c r="O28" s="575"/>
      <c r="P28" s="580" t="e">
        <f t="shared" si="92"/>
        <v>#DIV/0!</v>
      </c>
      <c r="Q28" s="604">
        <f>DATOS!L18</f>
        <v>1033.1300000000001</v>
      </c>
      <c r="R28" s="606"/>
      <c r="S28" s="599" t="e">
        <f t="shared" si="93"/>
        <v>#DIV/0!</v>
      </c>
      <c r="T28" s="572">
        <f>DATOS!N18</f>
        <v>171.3</v>
      </c>
      <c r="U28" s="575"/>
      <c r="V28" s="580" t="e">
        <f t="shared" si="94"/>
        <v>#DIV/0!</v>
      </c>
      <c r="W28" s="604">
        <f>DATOS!P18</f>
        <v>1509.88</v>
      </c>
      <c r="X28" s="606"/>
      <c r="Y28" s="599" t="e">
        <f t="shared" si="95"/>
        <v>#DIV/0!</v>
      </c>
      <c r="Z28" s="575">
        <f>DATOS!R18</f>
        <v>158.19999999999999</v>
      </c>
      <c r="AA28" s="575"/>
      <c r="AB28" s="580" t="e">
        <f t="shared" si="96"/>
        <v>#DIV/0!</v>
      </c>
      <c r="AC28" s="604">
        <f>DATOS!T18</f>
        <v>788.39</v>
      </c>
      <c r="AD28" s="606"/>
      <c r="AE28" s="599" t="e">
        <f t="shared" si="97"/>
        <v>#DIV/0!</v>
      </c>
      <c r="AF28" s="572">
        <f>DATOS!V18</f>
        <v>478.07</v>
      </c>
      <c r="AG28" s="575"/>
      <c r="AH28" s="580" t="e">
        <f t="shared" si="98"/>
        <v>#DIV/0!</v>
      </c>
      <c r="AI28" s="604">
        <f>DATOS!X18</f>
        <v>889.39</v>
      </c>
      <c r="AJ28" s="606"/>
      <c r="AK28" s="599" t="e">
        <f t="shared" si="99"/>
        <v>#DIV/0!</v>
      </c>
      <c r="AL28" s="572">
        <f>DATOS!Z18</f>
        <v>414.54</v>
      </c>
      <c r="AM28" s="575"/>
      <c r="AN28" s="580" t="e">
        <f t="shared" si="100"/>
        <v>#DIV/0!</v>
      </c>
      <c r="AO28" s="628">
        <f t="shared" si="101"/>
        <v>7822.4700000000012</v>
      </c>
      <c r="AP28" s="629">
        <f t="shared" si="102"/>
        <v>0</v>
      </c>
      <c r="AQ28" s="640" t="e">
        <f t="shared" si="103"/>
        <v>#DIV/0!</v>
      </c>
    </row>
    <row r="29" spans="1:43" ht="24" customHeight="1" thickTop="1" thickBot="1" x14ac:dyDescent="0.3">
      <c r="A29" s="565">
        <v>628</v>
      </c>
      <c r="B29" s="1699" t="s">
        <v>618</v>
      </c>
      <c r="C29" s="1700"/>
      <c r="D29" s="1701"/>
      <c r="E29" s="614">
        <v>9012.57</v>
      </c>
      <c r="F29" s="615"/>
      <c r="G29" s="599" t="e">
        <f t="shared" si="89"/>
        <v>#DIV/0!</v>
      </c>
      <c r="H29" s="582">
        <v>10058.01</v>
      </c>
      <c r="I29" s="583"/>
      <c r="J29" s="580" t="e">
        <f t="shared" si="90"/>
        <v>#DIV/0!</v>
      </c>
      <c r="K29" s="614">
        <v>8505.36</v>
      </c>
      <c r="L29" s="615"/>
      <c r="M29" s="599" t="e">
        <f t="shared" si="91"/>
        <v>#DIV/0!</v>
      </c>
      <c r="N29" s="582">
        <v>8413.4</v>
      </c>
      <c r="O29" s="583"/>
      <c r="P29" s="580" t="e">
        <f t="shared" si="92"/>
        <v>#DIV/0!</v>
      </c>
      <c r="Q29" s="614">
        <f>DATOS!L11</f>
        <v>9778.06</v>
      </c>
      <c r="R29" s="615"/>
      <c r="S29" s="599" t="e">
        <f t="shared" si="93"/>
        <v>#DIV/0!</v>
      </c>
      <c r="T29" s="582">
        <f>DATOS!N11</f>
        <v>516.20000000000005</v>
      </c>
      <c r="U29" s="583"/>
      <c r="V29" s="580" t="e">
        <f t="shared" si="94"/>
        <v>#DIV/0!</v>
      </c>
      <c r="W29" s="614">
        <f>DATOS!P11</f>
        <v>498.43</v>
      </c>
      <c r="X29" s="615"/>
      <c r="Y29" s="599" t="e">
        <f t="shared" si="95"/>
        <v>#DIV/0!</v>
      </c>
      <c r="Z29" s="582">
        <f>DATOS!R11</f>
        <v>331.79</v>
      </c>
      <c r="AA29" s="583"/>
      <c r="AB29" s="580" t="e">
        <f t="shared" si="96"/>
        <v>#DIV/0!</v>
      </c>
      <c r="AC29" s="614">
        <f>DATOS!T11</f>
        <v>551.35</v>
      </c>
      <c r="AD29" s="615"/>
      <c r="AE29" s="599" t="e">
        <f t="shared" si="97"/>
        <v>#DIV/0!</v>
      </c>
      <c r="AF29" s="582">
        <f>DATOS!V11</f>
        <v>387.25</v>
      </c>
      <c r="AG29" s="583"/>
      <c r="AH29" s="580" t="e">
        <f t="shared" si="98"/>
        <v>#DIV/0!</v>
      </c>
      <c r="AI29" s="614">
        <f>DATOS!X11</f>
        <v>441.25</v>
      </c>
      <c r="AJ29" s="615"/>
      <c r="AK29" s="599" t="e">
        <f t="shared" si="99"/>
        <v>#DIV/0!</v>
      </c>
      <c r="AL29" s="582">
        <f>DATOS!Z11</f>
        <v>359.38</v>
      </c>
      <c r="AM29" s="583"/>
      <c r="AN29" s="580" t="e">
        <f t="shared" si="100"/>
        <v>#DIV/0!</v>
      </c>
      <c r="AO29" s="628">
        <f t="shared" si="101"/>
        <v>48853.049999999996</v>
      </c>
      <c r="AP29" s="629">
        <f t="shared" si="102"/>
        <v>0</v>
      </c>
      <c r="AQ29" s="640" t="e">
        <f t="shared" si="103"/>
        <v>#DIV/0!</v>
      </c>
    </row>
    <row r="30" spans="1:43" ht="24" customHeight="1" thickTop="1" thickBot="1" x14ac:dyDescent="0.3">
      <c r="A30" s="565">
        <v>629</v>
      </c>
      <c r="B30" s="1699" t="s">
        <v>619</v>
      </c>
      <c r="C30" s="1700"/>
      <c r="D30" s="1701"/>
      <c r="E30" s="614">
        <v>15610.53</v>
      </c>
      <c r="F30" s="617"/>
      <c r="G30" s="599" t="e">
        <f t="shared" si="89"/>
        <v>#DIV/0!</v>
      </c>
      <c r="H30" s="654">
        <v>16056.29</v>
      </c>
      <c r="I30" s="584"/>
      <c r="J30" s="580" t="e">
        <f t="shared" si="90"/>
        <v>#DIV/0!</v>
      </c>
      <c r="K30" s="616">
        <v>15626.26</v>
      </c>
      <c r="L30" s="617"/>
      <c r="M30" s="599" t="e">
        <f t="shared" si="91"/>
        <v>#DIV/0!</v>
      </c>
      <c r="N30" s="582">
        <v>8417.9500000000007</v>
      </c>
      <c r="O30" s="584"/>
      <c r="P30" s="580" t="e">
        <f t="shared" si="92"/>
        <v>#DIV/0!</v>
      </c>
      <c r="Q30" s="616">
        <v>23697.79</v>
      </c>
      <c r="R30" s="617"/>
      <c r="S30" s="599" t="e">
        <f t="shared" si="93"/>
        <v>#DIV/0!</v>
      </c>
      <c r="T30" s="654"/>
      <c r="U30" s="584"/>
      <c r="V30" s="580" t="e">
        <f t="shared" si="94"/>
        <v>#DIV/0!</v>
      </c>
      <c r="W30" s="616"/>
      <c r="X30" s="617"/>
      <c r="Y30" s="599" t="e">
        <f t="shared" si="95"/>
        <v>#DIV/0!</v>
      </c>
      <c r="Z30" s="654"/>
      <c r="AA30" s="584"/>
      <c r="AB30" s="580" t="e">
        <f t="shared" si="96"/>
        <v>#DIV/0!</v>
      </c>
      <c r="AC30" s="616"/>
      <c r="AD30" s="617"/>
      <c r="AE30" s="599" t="e">
        <f t="shared" si="97"/>
        <v>#DIV/0!</v>
      </c>
      <c r="AF30" s="654"/>
      <c r="AG30" s="584"/>
      <c r="AH30" s="580" t="e">
        <f t="shared" si="98"/>
        <v>#DIV/0!</v>
      </c>
      <c r="AI30" s="616"/>
      <c r="AJ30" s="617"/>
      <c r="AK30" s="599" t="e">
        <f t="shared" si="99"/>
        <v>#DIV/0!</v>
      </c>
      <c r="AL30" s="582"/>
      <c r="AM30" s="584"/>
      <c r="AN30" s="580" t="e">
        <f t="shared" si="100"/>
        <v>#DIV/0!</v>
      </c>
      <c r="AO30" s="628">
        <f t="shared" si="101"/>
        <v>79408.820000000007</v>
      </c>
      <c r="AP30" s="629">
        <f t="shared" si="102"/>
        <v>0</v>
      </c>
      <c r="AQ30" s="640" t="e">
        <f t="shared" si="103"/>
        <v>#DIV/0!</v>
      </c>
    </row>
    <row r="31" spans="1:43" ht="24" customHeight="1" thickTop="1" thickBot="1" x14ac:dyDescent="0.3">
      <c r="A31" s="565">
        <v>630</v>
      </c>
      <c r="B31" s="1699" t="s">
        <v>620</v>
      </c>
      <c r="C31" s="1700"/>
      <c r="D31" s="1701"/>
      <c r="E31" s="604">
        <v>0</v>
      </c>
      <c r="F31" s="606"/>
      <c r="G31" s="599" t="e">
        <f t="shared" si="89"/>
        <v>#DIV/0!</v>
      </c>
      <c r="H31" s="572">
        <v>4.9400000000000004</v>
      </c>
      <c r="I31" s="575"/>
      <c r="J31" s="580" t="e">
        <f t="shared" si="90"/>
        <v>#DIV/0!</v>
      </c>
      <c r="K31" s="604">
        <v>63.42</v>
      </c>
      <c r="L31" s="606"/>
      <c r="M31" s="599" t="e">
        <f t="shared" si="91"/>
        <v>#DIV/0!</v>
      </c>
      <c r="N31" s="572">
        <v>0</v>
      </c>
      <c r="O31" s="575"/>
      <c r="P31" s="580" t="e">
        <f t="shared" si="92"/>
        <v>#DIV/0!</v>
      </c>
      <c r="Q31" s="604">
        <v>0</v>
      </c>
      <c r="R31" s="606"/>
      <c r="S31" s="599" t="e">
        <f t="shared" si="93"/>
        <v>#DIV/0!</v>
      </c>
      <c r="T31" s="572"/>
      <c r="U31" s="575"/>
      <c r="V31" s="580" t="e">
        <f t="shared" si="94"/>
        <v>#DIV/0!</v>
      </c>
      <c r="W31" s="604"/>
      <c r="X31" s="606"/>
      <c r="Y31" s="599" t="e">
        <f t="shared" si="95"/>
        <v>#DIV/0!</v>
      </c>
      <c r="Z31" s="572"/>
      <c r="AA31" s="575"/>
      <c r="AB31" s="580" t="e">
        <f t="shared" si="96"/>
        <v>#DIV/0!</v>
      </c>
      <c r="AC31" s="604"/>
      <c r="AD31" s="606"/>
      <c r="AE31" s="599" t="e">
        <f t="shared" si="97"/>
        <v>#DIV/0!</v>
      </c>
      <c r="AF31" s="572"/>
      <c r="AG31" s="575"/>
      <c r="AH31" s="580" t="e">
        <f t="shared" si="98"/>
        <v>#DIV/0!</v>
      </c>
      <c r="AI31" s="604"/>
      <c r="AJ31" s="606"/>
      <c r="AK31" s="599" t="e">
        <f t="shared" si="99"/>
        <v>#DIV/0!</v>
      </c>
      <c r="AL31" s="572"/>
      <c r="AM31" s="575"/>
      <c r="AN31" s="580" t="e">
        <f t="shared" si="100"/>
        <v>#DIV/0!</v>
      </c>
      <c r="AO31" s="628">
        <f t="shared" si="101"/>
        <v>68.36</v>
      </c>
      <c r="AP31" s="629">
        <f t="shared" si="102"/>
        <v>0</v>
      </c>
      <c r="AQ31" s="640" t="e">
        <f t="shared" si="103"/>
        <v>#DIV/0!</v>
      </c>
    </row>
    <row r="32" spans="1:43" ht="24" customHeight="1" thickTop="1" thickBot="1" x14ac:dyDescent="0.3">
      <c r="A32" s="565"/>
      <c r="B32" s="1699" t="s">
        <v>621</v>
      </c>
      <c r="C32" s="1700"/>
      <c r="D32" s="1701"/>
      <c r="E32" s="655">
        <f>E31+E30+E27+E26+E24+E22</f>
        <v>16776.739999999998</v>
      </c>
      <c r="F32" s="656">
        <f>F31+F30+F27+F26+F24+F22</f>
        <v>0</v>
      </c>
      <c r="G32" s="599" t="e">
        <f t="shared" si="89"/>
        <v>#DIV/0!</v>
      </c>
      <c r="H32" s="587">
        <f>H31+H30+H27+H26+H24+H22</f>
        <v>16940.810000000001</v>
      </c>
      <c r="I32" s="587">
        <f>I31+I30+I27+I26+I24+I22</f>
        <v>0</v>
      </c>
      <c r="J32" s="580" t="e">
        <f t="shared" si="90"/>
        <v>#DIV/0!</v>
      </c>
      <c r="K32" s="620">
        <f>K31+K30+K27+K26+K24+K22</f>
        <v>16703.89</v>
      </c>
      <c r="L32" s="620">
        <f>L31+L30+L27+L26+L24+L22</f>
        <v>0</v>
      </c>
      <c r="M32" s="599" t="e">
        <f t="shared" si="91"/>
        <v>#DIV/0!</v>
      </c>
      <c r="N32" s="587">
        <f>N31+N30+N27+N26+N24+N22</f>
        <v>9309.0399999999991</v>
      </c>
      <c r="O32" s="587">
        <f>O31+O30+O27+O26+O24+O22</f>
        <v>0</v>
      </c>
      <c r="P32" s="580" t="e">
        <f t="shared" si="92"/>
        <v>#DIV/0!</v>
      </c>
      <c r="Q32" s="620">
        <f>Q31+Q30+Q27+Q26+Q24+Q22</f>
        <v>25088.35</v>
      </c>
      <c r="R32" s="620">
        <f>R31+R30+R27+R26+R24+R22</f>
        <v>0</v>
      </c>
      <c r="S32" s="599" t="e">
        <f t="shared" si="93"/>
        <v>#DIV/0!</v>
      </c>
      <c r="T32" s="587">
        <f>T31+T30+T27+T26+T24+T22</f>
        <v>0</v>
      </c>
      <c r="U32" s="587">
        <f>U31+U30+U27+U26+U24+U22</f>
        <v>0</v>
      </c>
      <c r="V32" s="580" t="e">
        <f t="shared" si="94"/>
        <v>#DIV/0!</v>
      </c>
      <c r="W32" s="620">
        <f>W31+W30+W27+W26+W24+W22</f>
        <v>0</v>
      </c>
      <c r="X32" s="620">
        <f>X31+X30+X27+X26+X24+X22</f>
        <v>0</v>
      </c>
      <c r="Y32" s="599" t="e">
        <f t="shared" si="95"/>
        <v>#DIV/0!</v>
      </c>
      <c r="Z32" s="587">
        <f>Z31+Z30+Z27+Z26+Z24+Z22</f>
        <v>0</v>
      </c>
      <c r="AA32" s="587">
        <f>AA31+AA30+AA27+AA26+AA24+AA22</f>
        <v>0</v>
      </c>
      <c r="AB32" s="580" t="e">
        <f t="shared" si="96"/>
        <v>#DIV/0!</v>
      </c>
      <c r="AC32" s="620">
        <f>AC31+AC30+AC27+AC26+AC24+AC22</f>
        <v>0</v>
      </c>
      <c r="AD32" s="620">
        <f>AD31+AD30+AD27+AD26+AD24+AD22</f>
        <v>0</v>
      </c>
      <c r="AE32" s="599" t="e">
        <f t="shared" si="97"/>
        <v>#DIV/0!</v>
      </c>
      <c r="AF32" s="587">
        <f>AF31+AF30+AF27+AF26+AF24+AF22</f>
        <v>0</v>
      </c>
      <c r="AG32" s="587">
        <f>AG31+AG30+AG27+AG26+AG24+AG22</f>
        <v>0</v>
      </c>
      <c r="AH32" s="580" t="e">
        <f t="shared" si="98"/>
        <v>#DIV/0!</v>
      </c>
      <c r="AI32" s="620">
        <f>AI31+AI30+AI27+AI26+AI24+AI22</f>
        <v>0</v>
      </c>
      <c r="AJ32" s="620">
        <f>AJ31+AJ30+AJ27+AJ26+AJ24+AJ22</f>
        <v>0</v>
      </c>
      <c r="AK32" s="599" t="e">
        <f t="shared" si="99"/>
        <v>#DIV/0!</v>
      </c>
      <c r="AL32" s="587">
        <f>AL31+AL30+AL27+AL26+AL24+AL22</f>
        <v>0</v>
      </c>
      <c r="AM32" s="587">
        <f>AM31+AM30+AM27+AM26+AM24+AM22</f>
        <v>0</v>
      </c>
      <c r="AN32" s="580" t="e">
        <f t="shared" si="100"/>
        <v>#DIV/0!</v>
      </c>
      <c r="AO32" s="628">
        <f t="shared" si="101"/>
        <v>84818.83</v>
      </c>
      <c r="AP32" s="629">
        <f>AP31+AP30+AP27+AP26+AP24+AP22</f>
        <v>0</v>
      </c>
      <c r="AQ32" s="640" t="e">
        <f t="shared" si="103"/>
        <v>#DIV/0!</v>
      </c>
    </row>
    <row r="33" spans="1:43" ht="24" customHeight="1" thickTop="1" thickBot="1" x14ac:dyDescent="0.4">
      <c r="B33" s="1705" t="s">
        <v>43</v>
      </c>
      <c r="C33" s="1705"/>
      <c r="E33" s="607">
        <f>SUM(E34:E35)</f>
        <v>34711.370000000003</v>
      </c>
      <c r="F33" s="607">
        <f>SUM(F34:F35)</f>
        <v>0</v>
      </c>
      <c r="G33" s="595" t="e">
        <f>1-(E33/F33)</f>
        <v>#DIV/0!</v>
      </c>
      <c r="H33" s="593">
        <f>SUM(H34:H35)</f>
        <v>34771.870000000003</v>
      </c>
      <c r="I33" s="593">
        <f>SUM(I34:I35)</f>
        <v>0</v>
      </c>
      <c r="J33" s="592" t="e">
        <f>1-(H33/I33)</f>
        <v>#DIV/0!</v>
      </c>
      <c r="K33" s="607">
        <f>SUM(K34:K35)</f>
        <v>34771.870000000003</v>
      </c>
      <c r="L33" s="607">
        <f>SUM(L34:L35)</f>
        <v>0</v>
      </c>
      <c r="M33" s="595" t="e">
        <f>1-(K33/L33)</f>
        <v>#DIV/0!</v>
      </c>
      <c r="N33" s="593">
        <f>SUM(N34:N35)</f>
        <v>34806.870000000003</v>
      </c>
      <c r="O33" s="593">
        <f>SUM(O34:O35)</f>
        <v>0</v>
      </c>
      <c r="P33" s="592" t="e">
        <f>1-(N33/O33)</f>
        <v>#DIV/0!</v>
      </c>
      <c r="Q33" s="607">
        <f>SUM(Q34:Q35)</f>
        <v>34806.870000000003</v>
      </c>
      <c r="R33" s="607">
        <f>SUM(R34:R35)</f>
        <v>0</v>
      </c>
      <c r="S33" s="595" t="e">
        <f>1-(Q33/R33)</f>
        <v>#DIV/0!</v>
      </c>
      <c r="T33" s="593">
        <f>SUM(T34:T35)</f>
        <v>0</v>
      </c>
      <c r="U33" s="593">
        <f>SUM(U34:U35)</f>
        <v>0</v>
      </c>
      <c r="V33" s="592" t="e">
        <f>1-(T33/U33)</f>
        <v>#DIV/0!</v>
      </c>
      <c r="W33" s="607">
        <f>SUM(W34:W35)</f>
        <v>0</v>
      </c>
      <c r="X33" s="607">
        <f>SUM(X34:X35)</f>
        <v>0</v>
      </c>
      <c r="Y33" s="595" t="e">
        <f>1-(W33/X33)</f>
        <v>#DIV/0!</v>
      </c>
      <c r="Z33" s="593">
        <f>SUM(Z34:Z35)</f>
        <v>0</v>
      </c>
      <c r="AA33" s="593">
        <f>SUM(AA34:AA35)</f>
        <v>0</v>
      </c>
      <c r="AB33" s="592" t="e">
        <f>1-(Z33/AA33)</f>
        <v>#DIV/0!</v>
      </c>
      <c r="AC33" s="607">
        <f>SUM(AC34:AC35)</f>
        <v>0</v>
      </c>
      <c r="AD33" s="607">
        <f>SUM(AD34:AD35)</f>
        <v>0</v>
      </c>
      <c r="AE33" s="595" t="e">
        <f>1-(AC33/AD33)</f>
        <v>#DIV/0!</v>
      </c>
      <c r="AF33" s="593">
        <f>SUM(AF34:AF35)</f>
        <v>0</v>
      </c>
      <c r="AG33" s="593">
        <f>SUM(AG34:AG35)</f>
        <v>0</v>
      </c>
      <c r="AH33" s="592" t="e">
        <f>1-(AF33/AG33)</f>
        <v>#DIV/0!</v>
      </c>
      <c r="AI33" s="607">
        <f>SUM(AI34:AI35)</f>
        <v>0</v>
      </c>
      <c r="AJ33" s="607">
        <f>SUM(AJ34:AJ35)</f>
        <v>0</v>
      </c>
      <c r="AK33" s="595" t="e">
        <f>1-(AI33/AJ33)</f>
        <v>#DIV/0!</v>
      </c>
      <c r="AL33" s="593">
        <f>SUM(AL34:AL35)</f>
        <v>0</v>
      </c>
      <c r="AM33" s="593">
        <f>SUM(AM34:AM35)</f>
        <v>0</v>
      </c>
      <c r="AN33" s="592" t="e">
        <f>1-(AL33/AM33)</f>
        <v>#DIV/0!</v>
      </c>
      <c r="AO33" s="633">
        <f>SUM(AO34:AO35)</f>
        <v>173868.85</v>
      </c>
      <c r="AP33" s="633">
        <f>SUM(AP34:AP35)</f>
        <v>0</v>
      </c>
      <c r="AQ33" s="636" t="e">
        <f>1-(AO33/AP33)</f>
        <v>#DIV/0!</v>
      </c>
    </row>
    <row r="34" spans="1:43" ht="24" customHeight="1" thickTop="1" thickBot="1" x14ac:dyDescent="0.3">
      <c r="A34" s="565">
        <v>680</v>
      </c>
      <c r="B34" s="1699" t="s">
        <v>622</v>
      </c>
      <c r="C34" s="1700"/>
      <c r="D34" s="1701"/>
      <c r="E34" s="618">
        <v>0</v>
      </c>
      <c r="F34" s="619"/>
      <c r="G34" s="596" t="e">
        <f>1-(E34/F34)</f>
        <v>#DIV/0!</v>
      </c>
      <c r="H34" s="585">
        <v>0</v>
      </c>
      <c r="I34" s="586"/>
      <c r="J34" s="576" t="e">
        <f>1-(H34/I34)</f>
        <v>#DIV/0!</v>
      </c>
      <c r="K34" s="618">
        <v>0</v>
      </c>
      <c r="L34" s="619"/>
      <c r="M34" s="596" t="e">
        <f>1-(K34/L34)</f>
        <v>#DIV/0!</v>
      </c>
      <c r="N34" s="585">
        <v>0</v>
      </c>
      <c r="O34" s="586"/>
      <c r="P34" s="574" t="e">
        <f>1-(N34/O34)</f>
        <v>#DIV/0!</v>
      </c>
      <c r="Q34" s="618">
        <v>0</v>
      </c>
      <c r="R34" s="619"/>
      <c r="S34" s="596" t="e">
        <f>1-(Q34/R34)</f>
        <v>#DIV/0!</v>
      </c>
      <c r="T34" s="585"/>
      <c r="U34" s="586"/>
      <c r="V34" s="574" t="e">
        <f>1-(T34/U34)</f>
        <v>#DIV/0!</v>
      </c>
      <c r="W34" s="618"/>
      <c r="X34" s="619"/>
      <c r="Y34" s="596" t="e">
        <f>1-(W34/X34)</f>
        <v>#DIV/0!</v>
      </c>
      <c r="Z34" s="585"/>
      <c r="AA34" s="586"/>
      <c r="AB34" s="574" t="e">
        <f>1-(Z34/AA34)</f>
        <v>#DIV/0!</v>
      </c>
      <c r="AC34" s="618"/>
      <c r="AD34" s="619"/>
      <c r="AE34" s="596" t="e">
        <f>1-(AC34/AD34)</f>
        <v>#DIV/0!</v>
      </c>
      <c r="AF34" s="585"/>
      <c r="AG34" s="586"/>
      <c r="AH34" s="574" t="e">
        <f>1-(AF34/AG34)</f>
        <v>#DIV/0!</v>
      </c>
      <c r="AI34" s="618"/>
      <c r="AJ34" s="619"/>
      <c r="AK34" s="596" t="e">
        <f>1-(AI34/AJ34)</f>
        <v>#DIV/0!</v>
      </c>
      <c r="AL34" s="585"/>
      <c r="AM34" s="586"/>
      <c r="AN34" s="574" t="e">
        <f>1-(AL34/AM34)</f>
        <v>#DIV/0!</v>
      </c>
      <c r="AO34" s="628">
        <f>E34+H34+K34+N34+Q34+T34+W34+Z34+AC34+AF34+AI34+AL34</f>
        <v>0</v>
      </c>
      <c r="AP34" s="629">
        <f>F34+I34+L34+O34+R34+U34+X34+AA34+AD34+AG34+AJ34+AM34</f>
        <v>0</v>
      </c>
      <c r="AQ34" s="637" t="e">
        <f>1-(AO34/AP34)</f>
        <v>#DIV/0!</v>
      </c>
    </row>
    <row r="35" spans="1:43" ht="24" customHeight="1" thickTop="1" thickBot="1" x14ac:dyDescent="0.3">
      <c r="A35" s="565">
        <v>681</v>
      </c>
      <c r="B35" s="1699" t="s">
        <v>623</v>
      </c>
      <c r="C35" s="1700"/>
      <c r="D35" s="1701"/>
      <c r="E35" s="604">
        <v>34711.370000000003</v>
      </c>
      <c r="F35" s="606"/>
      <c r="G35" s="596" t="e">
        <f>1-(E35/F35)</f>
        <v>#DIV/0!</v>
      </c>
      <c r="H35" s="572">
        <v>34771.870000000003</v>
      </c>
      <c r="I35" s="575"/>
      <c r="J35" s="574" t="e">
        <f>1-(H35/I35)</f>
        <v>#DIV/0!</v>
      </c>
      <c r="K35" s="604">
        <v>34771.870000000003</v>
      </c>
      <c r="L35" s="606"/>
      <c r="M35" s="596" t="e">
        <f>1-(K35/L35)</f>
        <v>#DIV/0!</v>
      </c>
      <c r="N35" s="572">
        <v>34806.870000000003</v>
      </c>
      <c r="O35" s="575"/>
      <c r="P35" s="574" t="e">
        <f>1-(N35/O35)</f>
        <v>#DIV/0!</v>
      </c>
      <c r="Q35" s="604">
        <v>34806.870000000003</v>
      </c>
      <c r="R35" s="606"/>
      <c r="S35" s="596" t="e">
        <f>1-(Q35/R35)</f>
        <v>#DIV/0!</v>
      </c>
      <c r="T35" s="572"/>
      <c r="U35" s="575"/>
      <c r="V35" s="574" t="e">
        <f>1-(T35/U35)</f>
        <v>#DIV/0!</v>
      </c>
      <c r="W35" s="604"/>
      <c r="X35" s="606"/>
      <c r="Y35" s="596" t="e">
        <f>1-(W35/X35)</f>
        <v>#DIV/0!</v>
      </c>
      <c r="Z35" s="572"/>
      <c r="AA35" s="575"/>
      <c r="AB35" s="574" t="e">
        <f>1-(Z35/AA35)</f>
        <v>#DIV/0!</v>
      </c>
      <c r="AC35" s="604"/>
      <c r="AD35" s="606"/>
      <c r="AE35" s="596" t="e">
        <f>1-(AC35/AD35)</f>
        <v>#DIV/0!</v>
      </c>
      <c r="AF35" s="572"/>
      <c r="AG35" s="575"/>
      <c r="AH35" s="574" t="e">
        <f>1-(AF35/AG35)</f>
        <v>#DIV/0!</v>
      </c>
      <c r="AI35" s="604"/>
      <c r="AJ35" s="606"/>
      <c r="AK35" s="596" t="e">
        <f>1-(AI35/AJ35)</f>
        <v>#DIV/0!</v>
      </c>
      <c r="AL35" s="572"/>
      <c r="AM35" s="575"/>
      <c r="AN35" s="574" t="e">
        <f>1-(AL35/AM35)</f>
        <v>#DIV/0!</v>
      </c>
      <c r="AO35" s="628">
        <f>E35+H35+K35+N35+Q35+T35+W35+Z35+AC35+AF35+AI35+AL35</f>
        <v>173868.85</v>
      </c>
      <c r="AP35" s="629">
        <f>F35+I35+L35+O35+R35+U35+X35+AA35+AD35+AG35+AJ35+AM35</f>
        <v>0</v>
      </c>
      <c r="AQ35" s="637" t="e">
        <f>1-(AO35/AP35)</f>
        <v>#DIV/0!</v>
      </c>
    </row>
    <row r="36" spans="1:43" ht="24" customHeight="1" thickTop="1" thickBot="1" x14ac:dyDescent="0.4">
      <c r="B36" s="1705" t="s">
        <v>624</v>
      </c>
      <c r="C36" s="1705"/>
      <c r="E36" s="607">
        <f>SUM(E37)</f>
        <v>0</v>
      </c>
      <c r="F36" s="607">
        <f>SUM(F37)</f>
        <v>0</v>
      </c>
      <c r="G36" s="595" t="e">
        <f>(E36/F36)-1</f>
        <v>#DIV/0!</v>
      </c>
      <c r="H36" s="593">
        <f t="shared" ref="H36:AG36" si="104">SUM(H37)</f>
        <v>0</v>
      </c>
      <c r="I36" s="593">
        <f t="shared" si="104"/>
        <v>0</v>
      </c>
      <c r="J36" s="592" t="e">
        <f>(H36/I36)-1</f>
        <v>#DIV/0!</v>
      </c>
      <c r="K36" s="607">
        <f t="shared" si="104"/>
        <v>0</v>
      </c>
      <c r="L36" s="607">
        <f t="shared" si="104"/>
        <v>0</v>
      </c>
      <c r="M36" s="595" t="e">
        <f>(K36/L36)-1</f>
        <v>#DIV/0!</v>
      </c>
      <c r="N36" s="593">
        <f t="shared" si="104"/>
        <v>0</v>
      </c>
      <c r="O36" s="593">
        <f t="shared" si="104"/>
        <v>0</v>
      </c>
      <c r="P36" s="592" t="e">
        <f>(N36/O36)-1</f>
        <v>#DIV/0!</v>
      </c>
      <c r="Q36" s="607">
        <f t="shared" si="104"/>
        <v>0</v>
      </c>
      <c r="R36" s="607">
        <f t="shared" si="104"/>
        <v>0</v>
      </c>
      <c r="S36" s="595" t="e">
        <f>(Q36/R36)-1</f>
        <v>#DIV/0!</v>
      </c>
      <c r="T36" s="593">
        <f t="shared" si="104"/>
        <v>0</v>
      </c>
      <c r="U36" s="593">
        <f t="shared" si="104"/>
        <v>0</v>
      </c>
      <c r="V36" s="592" t="e">
        <f>(T36/U36)-1</f>
        <v>#DIV/0!</v>
      </c>
      <c r="W36" s="607">
        <f t="shared" si="104"/>
        <v>0</v>
      </c>
      <c r="X36" s="607">
        <f>SUM(X37)</f>
        <v>0</v>
      </c>
      <c r="Y36" s="595" t="e">
        <f>(W36/X36)-1</f>
        <v>#DIV/0!</v>
      </c>
      <c r="Z36" s="593">
        <f t="shared" si="104"/>
        <v>0</v>
      </c>
      <c r="AA36" s="593">
        <f t="shared" si="104"/>
        <v>0</v>
      </c>
      <c r="AB36" s="592" t="e">
        <f>(Z36/AA36)-1</f>
        <v>#DIV/0!</v>
      </c>
      <c r="AC36" s="607">
        <f t="shared" ref="AC36:AD36" si="105">SUM(AC37)</f>
        <v>0</v>
      </c>
      <c r="AD36" s="607">
        <f t="shared" si="105"/>
        <v>0</v>
      </c>
      <c r="AE36" s="595" t="e">
        <f>(AC36/AD36)-1</f>
        <v>#DIV/0!</v>
      </c>
      <c r="AF36" s="593">
        <f t="shared" si="104"/>
        <v>0</v>
      </c>
      <c r="AG36" s="593">
        <f t="shared" si="104"/>
        <v>0</v>
      </c>
      <c r="AH36" s="592" t="e">
        <f>(AF36/AG36)-1</f>
        <v>#DIV/0!</v>
      </c>
      <c r="AI36" s="626">
        <f t="shared" ref="AI36:AJ36" si="106">SUM(AI37)</f>
        <v>0</v>
      </c>
      <c r="AJ36" s="626">
        <f t="shared" si="106"/>
        <v>0</v>
      </c>
      <c r="AK36" s="625" t="e">
        <f>(AI36/AJ36)-1</f>
        <v>#DIV/0!</v>
      </c>
      <c r="AL36" s="593">
        <f t="shared" ref="AL36:AM36" si="107">SUM(AL37)</f>
        <v>0</v>
      </c>
      <c r="AM36" s="593">
        <f t="shared" si="107"/>
        <v>0</v>
      </c>
      <c r="AN36" s="592" t="e">
        <f>(AL36/AM36)-1</f>
        <v>#DIV/0!</v>
      </c>
      <c r="AO36" s="633">
        <f>SUM(AO37)</f>
        <v>0</v>
      </c>
      <c r="AP36" s="633">
        <f>SUM(AP37)</f>
        <v>0</v>
      </c>
      <c r="AQ36" s="641" t="e">
        <f>(AO36/AP36)-1</f>
        <v>#DIV/0!</v>
      </c>
    </row>
    <row r="37" spans="1:43" ht="24" customHeight="1" thickTop="1" thickBot="1" x14ac:dyDescent="0.3">
      <c r="A37" s="565">
        <v>746</v>
      </c>
      <c r="B37" s="1699" t="s">
        <v>625</v>
      </c>
      <c r="C37" s="1700"/>
      <c r="D37" s="1701"/>
      <c r="E37" s="618">
        <f>DATOS!D14</f>
        <v>0</v>
      </c>
      <c r="F37" s="619"/>
      <c r="G37" s="596" t="e">
        <f>(E37/F37)-1</f>
        <v>#DIV/0!</v>
      </c>
      <c r="H37" s="585">
        <f>DATOS!F14</f>
        <v>0</v>
      </c>
      <c r="I37" s="586"/>
      <c r="J37" s="574" t="e">
        <f>(H37/I37)-1</f>
        <v>#DIV/0!</v>
      </c>
      <c r="K37" s="618">
        <f>DATOS!H14</f>
        <v>0</v>
      </c>
      <c r="L37" s="619"/>
      <c r="M37" s="596" t="e">
        <f>(K37/L37)-1</f>
        <v>#DIV/0!</v>
      </c>
      <c r="N37" s="585">
        <f>DATOS!J14</f>
        <v>0</v>
      </c>
      <c r="O37" s="586"/>
      <c r="P37" s="574" t="e">
        <f>(N37/O37)-1</f>
        <v>#DIV/0!</v>
      </c>
      <c r="Q37" s="618">
        <f>DATOS!L14</f>
        <v>0</v>
      </c>
      <c r="R37" s="619"/>
      <c r="S37" s="596" t="e">
        <f>(Q37/R37)-1</f>
        <v>#DIV/0!</v>
      </c>
      <c r="T37" s="585">
        <f>DATOS!N14</f>
        <v>0</v>
      </c>
      <c r="U37" s="586"/>
      <c r="V37" s="574" t="e">
        <f>(T37/U37)-1</f>
        <v>#DIV/0!</v>
      </c>
      <c r="W37" s="618">
        <f>DATOS!P14</f>
        <v>0</v>
      </c>
      <c r="X37" s="619"/>
      <c r="Y37" s="596" t="e">
        <f>(W37/X37)-1</f>
        <v>#DIV/0!</v>
      </c>
      <c r="Z37" s="585">
        <f>DATOS!R14</f>
        <v>0</v>
      </c>
      <c r="AA37" s="586"/>
      <c r="AB37" s="574" t="e">
        <f>(Z37/AA37)-1</f>
        <v>#DIV/0!</v>
      </c>
      <c r="AC37" s="618">
        <f>DATOS!T14</f>
        <v>0</v>
      </c>
      <c r="AD37" s="619"/>
      <c r="AE37" s="596" t="e">
        <f>(AC37/AD37)-1</f>
        <v>#DIV/0!</v>
      </c>
      <c r="AF37" s="585">
        <f>DATOS!V14</f>
        <v>0</v>
      </c>
      <c r="AG37" s="586"/>
      <c r="AH37" s="574" t="e">
        <f>(AF37/AG37)-1</f>
        <v>#DIV/0!</v>
      </c>
      <c r="AI37" s="618">
        <f>DATOS!X14</f>
        <v>0</v>
      </c>
      <c r="AJ37" s="619"/>
      <c r="AK37" s="596" t="e">
        <f>(AI37/AJ37)-1</f>
        <v>#DIV/0!</v>
      </c>
      <c r="AL37" s="585">
        <f>DATOS!Z14</f>
        <v>0</v>
      </c>
      <c r="AM37" s="586"/>
      <c r="AN37" s="574" t="e">
        <f>(AL37/AM37)-1</f>
        <v>#DIV/0!</v>
      </c>
      <c r="AO37" s="628">
        <f>E37+H37+K37+N37+Q37+T37+W37+Z37+AC37+AF37+AI37+AL37</f>
        <v>0</v>
      </c>
      <c r="AP37" s="629">
        <f>F37+I37+L37+O37+R37+U37+X37+AA37+AD37+AG37+AJ37+AM37</f>
        <v>0</v>
      </c>
      <c r="AQ37" s="638" t="e">
        <f>(AO37/AP37)-1</f>
        <v>#DIV/0!</v>
      </c>
    </row>
    <row r="38" spans="1:43" ht="24" customHeight="1" thickTop="1" thickBot="1" x14ac:dyDescent="0.3">
      <c r="A38" s="565">
        <v>795</v>
      </c>
      <c r="B38" s="1699" t="s">
        <v>893</v>
      </c>
      <c r="C38" s="1700"/>
      <c r="D38" s="1701"/>
      <c r="E38" s="618">
        <v>0</v>
      </c>
      <c r="F38" s="619"/>
      <c r="G38" s="596"/>
      <c r="H38" s="585"/>
      <c r="I38" s="586"/>
      <c r="J38" s="574"/>
      <c r="K38" s="618">
        <v>0</v>
      </c>
      <c r="L38" s="619"/>
      <c r="M38" s="596"/>
      <c r="N38" s="585">
        <v>0</v>
      </c>
      <c r="O38" s="586"/>
      <c r="P38" s="574"/>
      <c r="Q38" s="618">
        <v>0</v>
      </c>
      <c r="R38" s="619"/>
      <c r="S38" s="596"/>
      <c r="T38" s="585"/>
      <c r="U38" s="586"/>
      <c r="V38" s="574"/>
      <c r="W38" s="618"/>
      <c r="X38" s="619"/>
      <c r="Y38" s="596"/>
      <c r="Z38" s="585"/>
      <c r="AA38" s="586"/>
      <c r="AB38" s="574"/>
      <c r="AC38" s="618"/>
      <c r="AD38" s="619"/>
      <c r="AE38" s="596"/>
      <c r="AF38" s="585"/>
      <c r="AG38" s="586"/>
      <c r="AH38" s="574"/>
      <c r="AI38" s="618"/>
      <c r="AJ38" s="619"/>
      <c r="AK38" s="596"/>
      <c r="AL38" s="585"/>
      <c r="AM38" s="586"/>
      <c r="AN38" s="574"/>
      <c r="AO38" s="628">
        <f>E38+H38+K38+N38+Q38+T38+W38+Z38+AC38+AF38+AI38+AL38</f>
        <v>0</v>
      </c>
      <c r="AP38" s="629"/>
      <c r="AQ38" s="638" t="e">
        <f>(AO38/AP38)-1</f>
        <v>#DIV/0!</v>
      </c>
    </row>
    <row r="39" spans="1:43" ht="24" customHeight="1" thickTop="1" thickBot="1" x14ac:dyDescent="0.4">
      <c r="B39" s="1709" t="s">
        <v>626</v>
      </c>
      <c r="C39" s="1710"/>
      <c r="D39" s="1711"/>
      <c r="E39" s="621">
        <f>E3-E7+E12-E16-E21-E33+E36</f>
        <v>1409.9499999999898</v>
      </c>
      <c r="F39" s="621">
        <f>F3-F7+F12-F16-F21-F33+F36</f>
        <v>0</v>
      </c>
      <c r="G39" s="595" t="e">
        <f>(E39/F39)-1</f>
        <v>#DIV/0!</v>
      </c>
      <c r="H39" s="589">
        <f t="shared" ref="H39:AG39" si="108">H3-H7+H12-H16-H21-H33+H36</f>
        <v>33626.650000000016</v>
      </c>
      <c r="I39" s="589">
        <f t="shared" si="108"/>
        <v>0</v>
      </c>
      <c r="J39" s="592" t="e">
        <f>(H39/I39)-1</f>
        <v>#DIV/0!</v>
      </c>
      <c r="K39" s="621">
        <f t="shared" si="108"/>
        <v>-19117.04</v>
      </c>
      <c r="L39" s="621">
        <f t="shared" si="108"/>
        <v>0</v>
      </c>
      <c r="M39" s="595" t="e">
        <f>(K39/L39)-1</f>
        <v>#DIV/0!</v>
      </c>
      <c r="N39" s="589">
        <f>N3-N7+N12-N16-N21-N33+N36+N38</f>
        <v>17716.980000000003</v>
      </c>
      <c r="O39" s="589">
        <f t="shared" si="108"/>
        <v>0</v>
      </c>
      <c r="P39" s="592" t="e">
        <f>(N39/O39)-1</f>
        <v>#DIV/0!</v>
      </c>
      <c r="Q39" s="621">
        <f>Q3-Q7+Q12-Q16-Q21-Q33+Q36+Q38</f>
        <v>18592.679999999978</v>
      </c>
      <c r="R39" s="621">
        <f t="shared" si="108"/>
        <v>0</v>
      </c>
      <c r="S39" s="595" t="e">
        <f>(Q39/R39)-1</f>
        <v>#DIV/0!</v>
      </c>
      <c r="T39" s="589">
        <f t="shared" si="108"/>
        <v>-20863.039999999997</v>
      </c>
      <c r="U39" s="589">
        <f t="shared" si="108"/>
        <v>0</v>
      </c>
      <c r="V39" s="592" t="e">
        <f>(T39/U39)-1</f>
        <v>#DIV/0!</v>
      </c>
      <c r="W39" s="621">
        <f t="shared" si="108"/>
        <v>-32759.87</v>
      </c>
      <c r="X39" s="621">
        <f>X3-X7+X12-X16-X21-X33+X36</f>
        <v>0</v>
      </c>
      <c r="Y39" s="595" t="e">
        <f>(W39/X39)-1</f>
        <v>#DIV/0!</v>
      </c>
      <c r="Z39" s="589">
        <f t="shared" si="108"/>
        <v>-13051.13</v>
      </c>
      <c r="AA39" s="589">
        <f t="shared" si="108"/>
        <v>0</v>
      </c>
      <c r="AB39" s="592" t="e">
        <f>(Z39/AA39)-1</f>
        <v>#DIV/0!</v>
      </c>
      <c r="AC39" s="621">
        <f t="shared" ref="AC39:AD39" si="109">AC3-AC7+AC12-AC16-AC21-AC33+AC36</f>
        <v>-17430.36</v>
      </c>
      <c r="AD39" s="621">
        <f t="shared" si="109"/>
        <v>0</v>
      </c>
      <c r="AE39" s="595" t="e">
        <f>(AC39/AD39)-1</f>
        <v>#DIV/0!</v>
      </c>
      <c r="AF39" s="589">
        <f t="shared" si="108"/>
        <v>-20007.990000000002</v>
      </c>
      <c r="AG39" s="589">
        <f t="shared" si="108"/>
        <v>0</v>
      </c>
      <c r="AH39" s="592" t="e">
        <f>(AF39/AG39)-1</f>
        <v>#DIV/0!</v>
      </c>
      <c r="AI39" s="622">
        <f>AI3-AI7+AI12-AI16-AI21-AI33+AI36</f>
        <v>-13754.3</v>
      </c>
      <c r="AJ39" s="622">
        <f t="shared" ref="AJ39" si="110">AJ3-AJ7+AJ12-AJ16-AJ21-AJ33+AJ36</f>
        <v>0</v>
      </c>
      <c r="AK39" s="595" t="e">
        <f>(AI39/AJ39)-1</f>
        <v>#DIV/0!</v>
      </c>
      <c r="AL39" s="589">
        <f>AL3-AL7+AL12-AL16-AL21-AL33+AL36+AL38</f>
        <v>45163.090000000004</v>
      </c>
      <c r="AM39" s="589">
        <f t="shared" ref="AM39:AP39" si="111">AM3-AM7+AM12-AM16-AM21-AM33+AM36</f>
        <v>0</v>
      </c>
      <c r="AN39" s="592" t="e">
        <f>(AL39/AM39)-1</f>
        <v>#DIV/0!</v>
      </c>
      <c r="AO39" s="634">
        <f>AO3-AO7+AO12-AO16-AO21-AO33+AO36+AO38</f>
        <v>-20474.379999999917</v>
      </c>
      <c r="AP39" s="635">
        <f t="shared" si="111"/>
        <v>0</v>
      </c>
      <c r="AQ39" s="636" t="e">
        <f>(AO39/AP39)-1</f>
        <v>#DIV/0!</v>
      </c>
    </row>
    <row r="40" spans="1:43" ht="24" customHeight="1" thickTop="1" thickBot="1" x14ac:dyDescent="0.4">
      <c r="E40" s="743"/>
      <c r="F40" s="743"/>
      <c r="G40" s="758"/>
      <c r="H40" s="744"/>
      <c r="I40" s="744"/>
      <c r="J40" s="760"/>
      <c r="K40" s="743"/>
      <c r="L40" s="743"/>
      <c r="M40" s="758"/>
      <c r="N40" s="744"/>
      <c r="O40" s="744"/>
      <c r="P40" s="760"/>
      <c r="Q40" s="743"/>
      <c r="R40" s="743"/>
      <c r="S40" s="758"/>
      <c r="T40" s="744"/>
      <c r="U40" s="744"/>
      <c r="V40" s="760"/>
      <c r="W40" s="743"/>
      <c r="X40" s="743"/>
      <c r="Y40" s="758"/>
      <c r="Z40" s="744"/>
      <c r="AA40" s="744"/>
      <c r="AB40" s="760"/>
      <c r="AC40" s="743"/>
      <c r="AD40" s="743"/>
      <c r="AE40" s="595"/>
      <c r="AF40" s="744"/>
      <c r="AG40" s="744"/>
      <c r="AH40" s="592"/>
      <c r="AI40" s="600"/>
      <c r="AJ40" s="600"/>
      <c r="AK40" s="600"/>
      <c r="AL40" s="588"/>
      <c r="AM40" s="588"/>
      <c r="AN40" s="588"/>
      <c r="AO40" s="746"/>
      <c r="AP40" s="746"/>
      <c r="AQ40" s="636"/>
    </row>
    <row r="41" spans="1:43" ht="24" customHeight="1" thickTop="1" thickBot="1" x14ac:dyDescent="0.4">
      <c r="B41" s="1712" t="s">
        <v>334</v>
      </c>
      <c r="C41" s="1712"/>
      <c r="E41" s="621">
        <f>SUM(E42)</f>
        <v>0</v>
      </c>
      <c r="F41" s="621">
        <f>SUM(F42)</f>
        <v>0</v>
      </c>
      <c r="G41" s="759" t="e">
        <f>(E41/F41)-1</f>
        <v>#DIV/0!</v>
      </c>
      <c r="H41" s="761">
        <f t="shared" ref="H41:AG41" si="112">SUM(H42)</f>
        <v>0</v>
      </c>
      <c r="I41" s="761">
        <f t="shared" si="112"/>
        <v>0</v>
      </c>
      <c r="J41" s="748" t="e">
        <f>(H41/I41)-1</f>
        <v>#DIV/0!</v>
      </c>
      <c r="K41" s="621">
        <f t="shared" si="112"/>
        <v>0</v>
      </c>
      <c r="L41" s="621">
        <f t="shared" si="112"/>
        <v>0</v>
      </c>
      <c r="M41" s="759" t="e">
        <f>(K41/L41)-1</f>
        <v>#DIV/0!</v>
      </c>
      <c r="N41" s="761">
        <f t="shared" si="112"/>
        <v>0</v>
      </c>
      <c r="O41" s="761">
        <f t="shared" si="112"/>
        <v>0</v>
      </c>
      <c r="P41" s="748" t="e">
        <f>(N41/O41)-1</f>
        <v>#DIV/0!</v>
      </c>
      <c r="Q41" s="621">
        <f t="shared" si="112"/>
        <v>0</v>
      </c>
      <c r="R41" s="621">
        <f t="shared" si="112"/>
        <v>0</v>
      </c>
      <c r="S41" s="759" t="e">
        <f>(Q41/R41)-1</f>
        <v>#DIV/0!</v>
      </c>
      <c r="T41" s="761">
        <f t="shared" si="112"/>
        <v>0</v>
      </c>
      <c r="U41" s="761">
        <f t="shared" si="112"/>
        <v>0</v>
      </c>
      <c r="V41" s="748" t="e">
        <f>(T41/U41)-1</f>
        <v>#DIV/0!</v>
      </c>
      <c r="W41" s="621">
        <f t="shared" si="112"/>
        <v>0</v>
      </c>
      <c r="X41" s="621">
        <f>SUM(X42)</f>
        <v>0</v>
      </c>
      <c r="Y41" s="759" t="e">
        <f>(W41/X41)-1</f>
        <v>#DIV/0!</v>
      </c>
      <c r="Z41" s="761">
        <f t="shared" si="112"/>
        <v>0</v>
      </c>
      <c r="AA41" s="761">
        <f t="shared" si="112"/>
        <v>0</v>
      </c>
      <c r="AB41" s="748" t="e">
        <f>(Z41/AA41)-1</f>
        <v>#DIV/0!</v>
      </c>
      <c r="AC41" s="621">
        <f t="shared" ref="AC41:AD41" si="113">SUM(AC42)</f>
        <v>0</v>
      </c>
      <c r="AD41" s="621">
        <f t="shared" si="113"/>
        <v>0</v>
      </c>
      <c r="AE41" s="595" t="e">
        <f>(AC41/AD41)-1</f>
        <v>#DIV/0!</v>
      </c>
      <c r="AF41" s="589">
        <f t="shared" si="112"/>
        <v>0</v>
      </c>
      <c r="AG41" s="589">
        <f t="shared" si="112"/>
        <v>0</v>
      </c>
      <c r="AH41" s="592" t="e">
        <f>(AF41/AG41)-1</f>
        <v>#DIV/0!</v>
      </c>
      <c r="AI41" s="622">
        <f t="shared" ref="AI41:AJ41" si="114">SUM(AI42)</f>
        <v>0</v>
      </c>
      <c r="AJ41" s="622">
        <f t="shared" si="114"/>
        <v>0</v>
      </c>
      <c r="AK41" s="595" t="e">
        <f>(AI41/AJ41)-1</f>
        <v>#DIV/0!</v>
      </c>
      <c r="AL41" s="589">
        <f t="shared" ref="AL41:AM41" si="115">SUM(AL42)</f>
        <v>0</v>
      </c>
      <c r="AM41" s="589">
        <f t="shared" si="115"/>
        <v>0</v>
      </c>
      <c r="AN41" s="592" t="e">
        <f>(AL41/AM41)-1</f>
        <v>#DIV/0!</v>
      </c>
      <c r="AO41" s="749">
        <f>SUM(AO42)</f>
        <v>0</v>
      </c>
      <c r="AP41" s="749">
        <f>SUM(AP42)</f>
        <v>0</v>
      </c>
      <c r="AQ41" s="642" t="e">
        <f>(AO41/AP41)-1</f>
        <v>#DIV/0!</v>
      </c>
    </row>
    <row r="42" spans="1:43" ht="24" customHeight="1" thickTop="1" thickBot="1" x14ac:dyDescent="0.3">
      <c r="A42" s="565">
        <v>769</v>
      </c>
      <c r="B42" s="1699" t="s">
        <v>627</v>
      </c>
      <c r="C42" s="1700"/>
      <c r="D42" s="1701"/>
      <c r="E42" s="618">
        <v>0</v>
      </c>
      <c r="F42" s="619"/>
      <c r="G42" s="596" t="e">
        <f>(E42/F42)-1</f>
        <v>#DIV/0!</v>
      </c>
      <c r="H42" s="585">
        <v>0</v>
      </c>
      <c r="I42" s="586"/>
      <c r="J42" s="574" t="e">
        <f>(H42/I42)-1</f>
        <v>#DIV/0!</v>
      </c>
      <c r="K42" s="618">
        <v>0</v>
      </c>
      <c r="L42" s="619"/>
      <c r="M42" s="596" t="e">
        <f>(K42/L42)-1</f>
        <v>#DIV/0!</v>
      </c>
      <c r="N42" s="585">
        <v>0</v>
      </c>
      <c r="O42" s="586"/>
      <c r="P42" s="574" t="e">
        <f>(N42/O42)-1</f>
        <v>#DIV/0!</v>
      </c>
      <c r="Q42" s="618">
        <v>0</v>
      </c>
      <c r="R42" s="619"/>
      <c r="S42" s="596" t="e">
        <f>(Q42/R42)-1</f>
        <v>#DIV/0!</v>
      </c>
      <c r="T42" s="586"/>
      <c r="U42" s="586"/>
      <c r="V42" s="574" t="e">
        <f>(T42/U42)-1</f>
        <v>#DIV/0!</v>
      </c>
      <c r="W42" s="618"/>
      <c r="X42" s="619"/>
      <c r="Y42" s="596" t="e">
        <f>(W42/X42)-1</f>
        <v>#DIV/0!</v>
      </c>
      <c r="Z42" s="586"/>
      <c r="AA42" s="586"/>
      <c r="AB42" s="574" t="e">
        <f>(Z42/AA42)-1</f>
        <v>#DIV/0!</v>
      </c>
      <c r="AC42" s="618"/>
      <c r="AD42" s="619"/>
      <c r="AE42" s="596" t="e">
        <f>(AC42/AD42)-1</f>
        <v>#DIV/0!</v>
      </c>
      <c r="AF42" s="586"/>
      <c r="AG42" s="586"/>
      <c r="AH42" s="574" t="e">
        <f>(AF42/AG42)-1</f>
        <v>#DIV/0!</v>
      </c>
      <c r="AI42" s="618"/>
      <c r="AJ42" s="619"/>
      <c r="AK42" s="596" t="e">
        <f>(AI42/AJ42)-1</f>
        <v>#DIV/0!</v>
      </c>
      <c r="AL42" s="585"/>
      <c r="AM42" s="586"/>
      <c r="AN42" s="574" t="e">
        <f>(AL42/AM42)-1</f>
        <v>#DIV/0!</v>
      </c>
      <c r="AO42" s="628">
        <f>E42+H42+K42+N42+Q42+T42+W42+AA42+AC42+AF42+AJ42+AM42</f>
        <v>0</v>
      </c>
      <c r="AP42" s="629">
        <f>F42+I42+L42+O42+R42+U42+X42+AA42+AD42+AG42+AJ42+AM42</f>
        <v>0</v>
      </c>
      <c r="AQ42" s="637" t="e">
        <f>(AO42/AP42)-1</f>
        <v>#DIV/0!</v>
      </c>
    </row>
    <row r="43" spans="1:43" ht="24" customHeight="1" thickTop="1" thickBot="1" x14ac:dyDescent="0.4">
      <c r="B43" s="1705" t="s">
        <v>628</v>
      </c>
      <c r="C43" s="1705"/>
      <c r="E43" s="607">
        <f>SUM(E44:E45)</f>
        <v>397.73</v>
      </c>
      <c r="F43" s="607">
        <f>SUM(F44:F45)</f>
        <v>0</v>
      </c>
      <c r="G43" s="595" t="e">
        <f>1-(E43/F43)</f>
        <v>#DIV/0!</v>
      </c>
      <c r="H43" s="593">
        <f t="shared" ref="H43:AG43" si="116">SUM(H44:H45)</f>
        <v>0</v>
      </c>
      <c r="I43" s="593">
        <f t="shared" si="116"/>
        <v>0</v>
      </c>
      <c r="J43" s="592" t="e">
        <f>1-(H43/I43)</f>
        <v>#DIV/0!</v>
      </c>
      <c r="K43" s="607">
        <f t="shared" si="116"/>
        <v>112.34</v>
      </c>
      <c r="L43" s="607">
        <f t="shared" si="116"/>
        <v>0</v>
      </c>
      <c r="M43" s="595" t="e">
        <f>1-(K43/L43)</f>
        <v>#DIV/0!</v>
      </c>
      <c r="N43" s="593">
        <f t="shared" si="116"/>
        <v>335.01</v>
      </c>
      <c r="O43" s="593">
        <f t="shared" si="116"/>
        <v>0</v>
      </c>
      <c r="P43" s="592" t="e">
        <f>1-(N43/O43)</f>
        <v>#DIV/0!</v>
      </c>
      <c r="Q43" s="607">
        <f t="shared" si="116"/>
        <v>35.96</v>
      </c>
      <c r="R43" s="607">
        <f t="shared" si="116"/>
        <v>0</v>
      </c>
      <c r="S43" s="595" t="e">
        <f>1-(Q43/R43)</f>
        <v>#DIV/0!</v>
      </c>
      <c r="T43" s="593">
        <f t="shared" si="116"/>
        <v>0</v>
      </c>
      <c r="U43" s="593">
        <f t="shared" si="116"/>
        <v>0</v>
      </c>
      <c r="V43" s="592" t="e">
        <f>1-(T43/U43)</f>
        <v>#DIV/0!</v>
      </c>
      <c r="W43" s="607">
        <f t="shared" si="116"/>
        <v>0</v>
      </c>
      <c r="X43" s="607">
        <f>SUM(X44:X45)</f>
        <v>0</v>
      </c>
      <c r="Y43" s="595" t="e">
        <f>1-(W43/X43)</f>
        <v>#DIV/0!</v>
      </c>
      <c r="Z43" s="593">
        <f t="shared" si="116"/>
        <v>0</v>
      </c>
      <c r="AA43" s="593">
        <f t="shared" si="116"/>
        <v>0</v>
      </c>
      <c r="AB43" s="592" t="e">
        <f>1-(Z43/AA43)</f>
        <v>#DIV/0!</v>
      </c>
      <c r="AC43" s="607">
        <f t="shared" ref="AC43" si="117">SUM(AC44:AC45)</f>
        <v>0</v>
      </c>
      <c r="AD43" s="607">
        <f t="shared" ref="AD43" si="118">SUM(AD44:AD45)</f>
        <v>0</v>
      </c>
      <c r="AE43" s="595" t="e">
        <f>1-(AC43/AD43)</f>
        <v>#DIV/0!</v>
      </c>
      <c r="AF43" s="593">
        <f t="shared" si="116"/>
        <v>0</v>
      </c>
      <c r="AG43" s="593">
        <f t="shared" si="116"/>
        <v>0</v>
      </c>
      <c r="AH43" s="592" t="e">
        <f>1-(AF43/AG43)</f>
        <v>#DIV/0!</v>
      </c>
      <c r="AI43" s="626">
        <f t="shared" ref="AI43" si="119">SUM(AI44:AI45)</f>
        <v>0</v>
      </c>
      <c r="AJ43" s="626">
        <f t="shared" ref="AJ43" si="120">SUM(AJ44:AJ45)</f>
        <v>0</v>
      </c>
      <c r="AK43" s="625" t="e">
        <f>1-(AI43/AJ43)</f>
        <v>#DIV/0!</v>
      </c>
      <c r="AL43" s="593">
        <f t="shared" ref="AL43" si="121">SUM(AL44:AL45)</f>
        <v>0</v>
      </c>
      <c r="AM43" s="593">
        <f t="shared" ref="AM43" si="122">SUM(AM44:AM45)</f>
        <v>0</v>
      </c>
      <c r="AN43" s="592" t="e">
        <f>1-(AL43/AM43)</f>
        <v>#DIV/0!</v>
      </c>
      <c r="AO43" s="633">
        <f>SUM(AO44:AO45)</f>
        <v>881.04000000000008</v>
      </c>
      <c r="AP43" s="633">
        <f>SUM(AP44:AP45)</f>
        <v>0</v>
      </c>
      <c r="AQ43" s="636" t="e">
        <f>1-(AO43/AP43)</f>
        <v>#DIV/0!</v>
      </c>
    </row>
    <row r="44" spans="1:43" ht="24" customHeight="1" thickTop="1" thickBot="1" x14ac:dyDescent="0.3">
      <c r="A44" s="565">
        <v>662</v>
      </c>
      <c r="B44" s="1699" t="s">
        <v>629</v>
      </c>
      <c r="C44" s="1700"/>
      <c r="D44" s="1701"/>
      <c r="E44" s="618">
        <v>82.73</v>
      </c>
      <c r="F44" s="619"/>
      <c r="G44" s="596" t="e">
        <f t="shared" ref="G44:G45" si="123">1-(E44/F44)</f>
        <v>#DIV/0!</v>
      </c>
      <c r="H44" s="585">
        <v>0</v>
      </c>
      <c r="I44" s="586"/>
      <c r="J44" s="574" t="e">
        <f t="shared" ref="J44:J45" si="124">1-(H44/I44)</f>
        <v>#DIV/0!</v>
      </c>
      <c r="K44" s="618">
        <v>77.34</v>
      </c>
      <c r="L44" s="619"/>
      <c r="M44" s="596" t="e">
        <f t="shared" ref="M44:M45" si="125">1-(K44/L44)</f>
        <v>#DIV/0!</v>
      </c>
      <c r="N44" s="585">
        <v>37.32</v>
      </c>
      <c r="O44" s="586"/>
      <c r="P44" s="574" t="e">
        <f t="shared" ref="P44:P45" si="126">1-(N44/O44)</f>
        <v>#DIV/0!</v>
      </c>
      <c r="Q44" s="618">
        <v>35.96</v>
      </c>
      <c r="R44" s="619"/>
      <c r="S44" s="596" t="e">
        <f t="shared" ref="S44:S45" si="127">1-(Q44/R44)</f>
        <v>#DIV/0!</v>
      </c>
      <c r="T44" s="585"/>
      <c r="U44" s="586"/>
      <c r="V44" s="574" t="e">
        <f t="shared" ref="V44:V45" si="128">1-(T44/U44)</f>
        <v>#DIV/0!</v>
      </c>
      <c r="W44" s="618"/>
      <c r="X44" s="619"/>
      <c r="Y44" s="596" t="e">
        <f t="shared" ref="Y44:Y45" si="129">1-(W44/X44)</f>
        <v>#DIV/0!</v>
      </c>
      <c r="Z44" s="585"/>
      <c r="AA44" s="586"/>
      <c r="AB44" s="574" t="e">
        <f t="shared" ref="AB44:AB45" si="130">1-(Z44/AA44)</f>
        <v>#DIV/0!</v>
      </c>
      <c r="AC44" s="618"/>
      <c r="AD44" s="619"/>
      <c r="AE44" s="596" t="e">
        <f t="shared" ref="AE44:AE45" si="131">1-(AC44/AD44)</f>
        <v>#DIV/0!</v>
      </c>
      <c r="AF44" s="585"/>
      <c r="AG44" s="586"/>
      <c r="AH44" s="574" t="e">
        <f t="shared" ref="AH44:AH45" si="132">1-(AF44/AG44)</f>
        <v>#DIV/0!</v>
      </c>
      <c r="AI44" s="618"/>
      <c r="AJ44" s="619"/>
      <c r="AK44" s="596" t="e">
        <f t="shared" ref="AK44:AK45" si="133">1-(AI44/AJ44)</f>
        <v>#DIV/0!</v>
      </c>
      <c r="AL44" s="585"/>
      <c r="AM44" s="586"/>
      <c r="AN44" s="574" t="e">
        <f t="shared" ref="AN44:AN45" si="134">1-(AL44/AM44)</f>
        <v>#DIV/0!</v>
      </c>
      <c r="AO44" s="628">
        <f>E44+H44+K44+N44+Q44+T44+W44+Z44+AC44+AF44+AI44+AL44</f>
        <v>233.35</v>
      </c>
      <c r="AP44" s="629">
        <f>F44+I44+L44+O44+R44+U44+X44+AA44+AD44+AG44+AJ44+AM44</f>
        <v>0</v>
      </c>
      <c r="AQ44" s="637" t="e">
        <f t="shared" ref="AQ44:AQ45" si="135">1-(AO44/AP44)</f>
        <v>#DIV/0!</v>
      </c>
    </row>
    <row r="45" spans="1:43" ht="24" customHeight="1" thickTop="1" thickBot="1" x14ac:dyDescent="0.3">
      <c r="A45" s="565">
        <v>669</v>
      </c>
      <c r="B45" s="1699" t="s">
        <v>630</v>
      </c>
      <c r="C45" s="1700"/>
      <c r="D45" s="1701"/>
      <c r="E45" s="604">
        <v>315</v>
      </c>
      <c r="F45" s="606"/>
      <c r="G45" s="596" t="e">
        <f t="shared" si="123"/>
        <v>#DIV/0!</v>
      </c>
      <c r="H45" s="572">
        <v>0</v>
      </c>
      <c r="I45" s="575"/>
      <c r="J45" s="574" t="e">
        <f t="shared" si="124"/>
        <v>#DIV/0!</v>
      </c>
      <c r="K45" s="604">
        <v>35</v>
      </c>
      <c r="L45" s="606"/>
      <c r="M45" s="596" t="e">
        <f t="shared" si="125"/>
        <v>#DIV/0!</v>
      </c>
      <c r="N45" s="572">
        <v>297.69</v>
      </c>
      <c r="O45" s="575"/>
      <c r="P45" s="574" t="e">
        <f t="shared" si="126"/>
        <v>#DIV/0!</v>
      </c>
      <c r="Q45" s="604">
        <v>0</v>
      </c>
      <c r="R45" s="606"/>
      <c r="S45" s="596" t="e">
        <f t="shared" si="127"/>
        <v>#DIV/0!</v>
      </c>
      <c r="T45" s="572"/>
      <c r="U45" s="575"/>
      <c r="V45" s="574" t="e">
        <f t="shared" si="128"/>
        <v>#DIV/0!</v>
      </c>
      <c r="W45" s="604"/>
      <c r="X45" s="606"/>
      <c r="Y45" s="596" t="e">
        <f t="shared" si="129"/>
        <v>#DIV/0!</v>
      </c>
      <c r="Z45" s="572"/>
      <c r="AA45" s="575"/>
      <c r="AB45" s="574" t="e">
        <f t="shared" si="130"/>
        <v>#DIV/0!</v>
      </c>
      <c r="AC45" s="604"/>
      <c r="AD45" s="606"/>
      <c r="AE45" s="596" t="e">
        <f t="shared" si="131"/>
        <v>#DIV/0!</v>
      </c>
      <c r="AF45" s="572"/>
      <c r="AG45" s="575"/>
      <c r="AH45" s="574" t="e">
        <f t="shared" si="132"/>
        <v>#DIV/0!</v>
      </c>
      <c r="AI45" s="604"/>
      <c r="AJ45" s="606"/>
      <c r="AK45" s="596" t="e">
        <f t="shared" si="133"/>
        <v>#DIV/0!</v>
      </c>
      <c r="AL45" s="572"/>
      <c r="AM45" s="575"/>
      <c r="AN45" s="574" t="e">
        <f t="shared" si="134"/>
        <v>#DIV/0!</v>
      </c>
      <c r="AO45" s="628">
        <f>E45+H45+K45+N45+Q45+T45+W45+Z45+AC45+AF45+AI45+AL45</f>
        <v>647.69000000000005</v>
      </c>
      <c r="AP45" s="629">
        <f>F45+I45+L45+O45+R45+U45+X45+AA45+AD45+AG45+AJ45+AM45</f>
        <v>0</v>
      </c>
      <c r="AQ45" s="637" t="e">
        <f t="shared" si="135"/>
        <v>#DIV/0!</v>
      </c>
    </row>
    <row r="46" spans="1:43" ht="24" customHeight="1" thickTop="1" thickBot="1" x14ac:dyDescent="0.4">
      <c r="B46" s="1705" t="s">
        <v>631</v>
      </c>
      <c r="C46" s="1705"/>
      <c r="E46" s="611">
        <f>SUM(E47)</f>
        <v>0</v>
      </c>
      <c r="F46" s="611">
        <f>SUM(F47)</f>
        <v>0</v>
      </c>
      <c r="G46" s="601" t="e">
        <f>1-(E46/F46)</f>
        <v>#DIV/0!</v>
      </c>
      <c r="H46" s="577">
        <f t="shared" ref="H46:AG46" si="136">SUM(H47)</f>
        <v>0</v>
      </c>
      <c r="I46" s="577">
        <f t="shared" si="136"/>
        <v>0</v>
      </c>
      <c r="J46" s="571" t="e">
        <f>1-(H46/I46)</f>
        <v>#DIV/0!</v>
      </c>
      <c r="K46" s="607">
        <f t="shared" si="136"/>
        <v>0</v>
      </c>
      <c r="L46" s="607">
        <f t="shared" si="136"/>
        <v>0</v>
      </c>
      <c r="M46" s="595" t="e">
        <f>1-(K46/L46)</f>
        <v>#DIV/0!</v>
      </c>
      <c r="N46" s="577">
        <f t="shared" si="136"/>
        <v>0</v>
      </c>
      <c r="O46" s="577">
        <f t="shared" si="136"/>
        <v>0</v>
      </c>
      <c r="P46" s="571" t="e">
        <f>1-(N46/O46)</f>
        <v>#DIV/0!</v>
      </c>
      <c r="Q46" s="607">
        <f t="shared" si="136"/>
        <v>250</v>
      </c>
      <c r="R46" s="607">
        <f t="shared" si="136"/>
        <v>0</v>
      </c>
      <c r="S46" s="595" t="e">
        <f>1-(Q46/R46)</f>
        <v>#DIV/0!</v>
      </c>
      <c r="T46" s="593">
        <f t="shared" si="136"/>
        <v>0</v>
      </c>
      <c r="U46" s="593">
        <f t="shared" si="136"/>
        <v>0</v>
      </c>
      <c r="V46" s="571" t="e">
        <f>1-(T46/U46)</f>
        <v>#DIV/0!</v>
      </c>
      <c r="W46" s="607">
        <f t="shared" si="136"/>
        <v>0</v>
      </c>
      <c r="X46" s="607">
        <f>SUM(X47)</f>
        <v>0</v>
      </c>
      <c r="Y46" s="595" t="e">
        <f>1-(W46/X46)</f>
        <v>#DIV/0!</v>
      </c>
      <c r="Z46" s="593">
        <f t="shared" si="136"/>
        <v>0</v>
      </c>
      <c r="AA46" s="593">
        <f t="shared" si="136"/>
        <v>0</v>
      </c>
      <c r="AB46" s="592" t="e">
        <f>1-(Z46/AA46)</f>
        <v>#DIV/0!</v>
      </c>
      <c r="AC46" s="611">
        <f t="shared" ref="AC46" si="137">SUM(AC47)</f>
        <v>0</v>
      </c>
      <c r="AD46" s="611">
        <f t="shared" ref="AD46" si="138">SUM(AD47)</f>
        <v>0</v>
      </c>
      <c r="AE46" s="601" t="e">
        <f>1-(AC46/AD46)</f>
        <v>#DIV/0!</v>
      </c>
      <c r="AF46" s="593">
        <f t="shared" si="136"/>
        <v>0</v>
      </c>
      <c r="AG46" s="593">
        <f t="shared" si="136"/>
        <v>0</v>
      </c>
      <c r="AH46" s="592" t="e">
        <f>1-(AF46/AG46)</f>
        <v>#DIV/0!</v>
      </c>
      <c r="AI46" s="626">
        <f t="shared" ref="AI46" si="139">SUM(AI47)</f>
        <v>0</v>
      </c>
      <c r="AJ46" s="626">
        <f t="shared" ref="AJ46" si="140">SUM(AJ47)</f>
        <v>0</v>
      </c>
      <c r="AK46" s="625" t="e">
        <f>1-(AI46/AJ46)</f>
        <v>#DIV/0!</v>
      </c>
      <c r="AL46" s="593">
        <f t="shared" ref="AL46" si="141">SUM(AL47)</f>
        <v>0</v>
      </c>
      <c r="AM46" s="593">
        <f t="shared" ref="AM46" si="142">SUM(AM47)</f>
        <v>0</v>
      </c>
      <c r="AN46" s="592" t="e">
        <f>1-(AL46/AM46)</f>
        <v>#DIV/0!</v>
      </c>
      <c r="AO46" s="633">
        <f>SUM(AO47)</f>
        <v>250</v>
      </c>
      <c r="AP46" s="633">
        <f>SUM(AP47)</f>
        <v>0</v>
      </c>
      <c r="AQ46" s="636" t="e">
        <f>1-(AO46/AP46)</f>
        <v>#DIV/0!</v>
      </c>
    </row>
    <row r="47" spans="1:43" ht="24" customHeight="1" thickTop="1" thickBot="1" x14ac:dyDescent="0.3">
      <c r="A47" s="565">
        <v>678</v>
      </c>
      <c r="B47" s="1699" t="s">
        <v>632</v>
      </c>
      <c r="C47" s="1700"/>
      <c r="D47" s="1701"/>
      <c r="E47" s="619">
        <v>0</v>
      </c>
      <c r="F47" s="619"/>
      <c r="G47" s="596" t="e">
        <f>1-(E47/F47)</f>
        <v>#DIV/0!</v>
      </c>
      <c r="H47" s="586">
        <v>0</v>
      </c>
      <c r="I47" s="586"/>
      <c r="J47" s="574" t="e">
        <f>1-(H47/I47)</f>
        <v>#DIV/0!</v>
      </c>
      <c r="K47" s="619"/>
      <c r="L47" s="619"/>
      <c r="M47" s="596" t="e">
        <f>1-(K47/L47)</f>
        <v>#DIV/0!</v>
      </c>
      <c r="N47" s="586">
        <v>0</v>
      </c>
      <c r="O47" s="586"/>
      <c r="P47" s="574" t="e">
        <f>1-(N47/O47)</f>
        <v>#DIV/0!</v>
      </c>
      <c r="Q47" s="619">
        <v>250</v>
      </c>
      <c r="R47" s="619"/>
      <c r="S47" s="596" t="e">
        <f>1-(Q47/R47)</f>
        <v>#DIV/0!</v>
      </c>
      <c r="T47" s="586"/>
      <c r="U47" s="586"/>
      <c r="V47" s="574" t="e">
        <f>1-(T47/U47)</f>
        <v>#DIV/0!</v>
      </c>
      <c r="W47" s="619"/>
      <c r="X47" s="619"/>
      <c r="Y47" s="596" t="e">
        <f>1-(W47/X47)</f>
        <v>#DIV/0!</v>
      </c>
      <c r="Z47" s="586"/>
      <c r="AA47" s="586"/>
      <c r="AB47" s="574" t="e">
        <f>1-(Z47/AA47)</f>
        <v>#DIV/0!</v>
      </c>
      <c r="AC47" s="619"/>
      <c r="AD47" s="619"/>
      <c r="AE47" s="596" t="e">
        <f>1-(AC47/AD47)</f>
        <v>#DIV/0!</v>
      </c>
      <c r="AF47" s="586"/>
      <c r="AG47" s="586"/>
      <c r="AH47" s="574" t="e">
        <f>1-(AF47/AG47)</f>
        <v>#DIV/0!</v>
      </c>
      <c r="AI47" s="619"/>
      <c r="AJ47" s="619"/>
      <c r="AK47" s="596" t="e">
        <f>1-(AI47/AJ47)</f>
        <v>#DIV/0!</v>
      </c>
      <c r="AL47" s="586"/>
      <c r="AM47" s="586"/>
      <c r="AN47" s="574" t="e">
        <f>1-(AL47/AM47)</f>
        <v>#DIV/0!</v>
      </c>
      <c r="AO47" s="628">
        <f>E47+H47+K47+N47+Q47+T47+W47+Z47+AC47+AF47+AI47+AL47</f>
        <v>250</v>
      </c>
      <c r="AP47" s="629">
        <f>F47+I47+L47+O47+R47+U47+X47+AA47+AD47+AG47+AJ47+AM47</f>
        <v>0</v>
      </c>
      <c r="AQ47" s="637" t="e">
        <f>1-(AO47/AP47)</f>
        <v>#DIV/0!</v>
      </c>
    </row>
    <row r="48" spans="1:43" ht="24" customHeight="1" thickTop="1" thickBot="1" x14ac:dyDescent="0.3">
      <c r="A48" s="565">
        <v>630</v>
      </c>
      <c r="B48" s="1699" t="s">
        <v>911</v>
      </c>
      <c r="C48" s="1700"/>
      <c r="D48" s="1701"/>
      <c r="E48" s="619">
        <v>0</v>
      </c>
      <c r="F48" s="619"/>
      <c r="G48" s="596" t="e">
        <f>1-(E48/F48)</f>
        <v>#DIV/0!</v>
      </c>
      <c r="H48" s="586">
        <v>0</v>
      </c>
      <c r="I48" s="586"/>
      <c r="J48" s="574" t="e">
        <f>1-(H48/I48)</f>
        <v>#DIV/0!</v>
      </c>
      <c r="K48" s="619"/>
      <c r="L48" s="619"/>
      <c r="M48" s="596"/>
      <c r="N48" s="586">
        <v>0</v>
      </c>
      <c r="O48" s="586"/>
      <c r="P48" s="574"/>
      <c r="Q48" s="619">
        <v>0</v>
      </c>
      <c r="R48" s="619"/>
      <c r="S48" s="596" t="e">
        <f>1-(Q48/R48)</f>
        <v>#DIV/0!</v>
      </c>
      <c r="T48" s="586"/>
      <c r="U48" s="586"/>
      <c r="V48" s="574"/>
      <c r="W48" s="619"/>
      <c r="X48" s="619"/>
      <c r="Y48" s="596"/>
      <c r="Z48" s="586"/>
      <c r="AA48" s="586"/>
      <c r="AB48" s="574"/>
      <c r="AC48" s="619"/>
      <c r="AD48" s="619"/>
      <c r="AE48" s="596"/>
      <c r="AF48" s="586"/>
      <c r="AG48" s="586"/>
      <c r="AH48" s="574"/>
      <c r="AI48" s="619"/>
      <c r="AJ48" s="619"/>
      <c r="AK48" s="596"/>
      <c r="AL48" s="586"/>
      <c r="AM48" s="586"/>
      <c r="AN48" s="574"/>
      <c r="AO48" s="628">
        <f>E48+H48+K48+N48+Q48+T48+W48+Z48+AC48+AF48+AI48+AL48</f>
        <v>0</v>
      </c>
      <c r="AP48" s="629"/>
      <c r="AQ48" s="637"/>
    </row>
    <row r="49" spans="2:43" ht="24" customHeight="1" thickTop="1" thickBot="1" x14ac:dyDescent="0.3">
      <c r="E49" s="600"/>
      <c r="F49" s="600"/>
      <c r="G49" s="600"/>
      <c r="H49" s="588"/>
      <c r="I49" s="588"/>
      <c r="J49" s="588"/>
      <c r="K49" s="600"/>
      <c r="L49" s="600"/>
      <c r="M49" s="600"/>
      <c r="N49" s="588"/>
      <c r="O49" s="588"/>
      <c r="P49" s="588"/>
      <c r="Q49" s="600"/>
      <c r="R49" s="600"/>
      <c r="S49" s="600"/>
      <c r="T49" s="588"/>
      <c r="U49" s="588"/>
      <c r="V49" s="588"/>
      <c r="W49" s="600"/>
      <c r="X49" s="600"/>
      <c r="Y49" s="600"/>
      <c r="Z49" s="588"/>
      <c r="AA49" s="588"/>
      <c r="AB49" s="588"/>
      <c r="AC49" s="600"/>
      <c r="AD49" s="600"/>
      <c r="AE49" s="600"/>
      <c r="AF49" s="588"/>
      <c r="AG49" s="588"/>
      <c r="AH49" s="588"/>
      <c r="AI49" s="600"/>
      <c r="AJ49" s="600"/>
      <c r="AK49" s="600"/>
      <c r="AL49" s="588"/>
      <c r="AM49" s="588"/>
      <c r="AN49" s="588"/>
      <c r="AO49" s="630"/>
      <c r="AP49" s="630"/>
      <c r="AQ49" s="631"/>
    </row>
    <row r="50" spans="2:43" ht="24" customHeight="1" thickTop="1" thickBot="1" x14ac:dyDescent="0.4">
      <c r="B50" s="1706" t="s">
        <v>633</v>
      </c>
      <c r="C50" s="1707"/>
      <c r="D50" s="1708"/>
      <c r="E50" s="621">
        <f>E41-E43-E46</f>
        <v>-397.73</v>
      </c>
      <c r="F50" s="621">
        <f>F41-F43-F46</f>
        <v>0</v>
      </c>
      <c r="G50" s="601" t="e">
        <f>1-(E50/F50)</f>
        <v>#DIV/0!</v>
      </c>
      <c r="H50" s="589">
        <f t="shared" ref="H50:AG50" si="143">H41-H43-H46</f>
        <v>0</v>
      </c>
      <c r="I50" s="589">
        <f t="shared" si="143"/>
        <v>0</v>
      </c>
      <c r="J50" s="571" t="e">
        <f>1-(H50/I50)</f>
        <v>#DIV/0!</v>
      </c>
      <c r="K50" s="621">
        <f t="shared" si="143"/>
        <v>-112.34</v>
      </c>
      <c r="L50" s="621">
        <f t="shared" si="143"/>
        <v>0</v>
      </c>
      <c r="M50" s="601" t="e">
        <f>1-(K50/L50)</f>
        <v>#DIV/0!</v>
      </c>
      <c r="N50" s="589">
        <f t="shared" si="143"/>
        <v>-335.01</v>
      </c>
      <c r="O50" s="589">
        <f t="shared" si="143"/>
        <v>0</v>
      </c>
      <c r="P50" s="571" t="e">
        <f>1-(N50/O50)</f>
        <v>#DIV/0!</v>
      </c>
      <c r="Q50" s="621">
        <f t="shared" si="143"/>
        <v>-285.95999999999998</v>
      </c>
      <c r="R50" s="621">
        <f t="shared" si="143"/>
        <v>0</v>
      </c>
      <c r="S50" s="601" t="e">
        <f>1-(Q50/R50)</f>
        <v>#DIV/0!</v>
      </c>
      <c r="T50" s="589">
        <f t="shared" si="143"/>
        <v>0</v>
      </c>
      <c r="U50" s="589">
        <f t="shared" si="143"/>
        <v>0</v>
      </c>
      <c r="V50" s="571" t="e">
        <f>1-(T50/U50)</f>
        <v>#DIV/0!</v>
      </c>
      <c r="W50" s="621">
        <f t="shared" si="143"/>
        <v>0</v>
      </c>
      <c r="X50" s="621">
        <f>X41-X43-X46</f>
        <v>0</v>
      </c>
      <c r="Y50" s="601" t="e">
        <f>1-(W50/X50)</f>
        <v>#DIV/0!</v>
      </c>
      <c r="Z50" s="589">
        <f t="shared" si="143"/>
        <v>0</v>
      </c>
      <c r="AA50" s="589">
        <f t="shared" si="143"/>
        <v>0</v>
      </c>
      <c r="AB50" s="571" t="e">
        <f>1-(Z50/AA50)</f>
        <v>#DIV/0!</v>
      </c>
      <c r="AC50" s="621">
        <f t="shared" ref="AC50:AD50" si="144">AC41-AC43-AC46</f>
        <v>0</v>
      </c>
      <c r="AD50" s="621">
        <f t="shared" si="144"/>
        <v>0</v>
      </c>
      <c r="AE50" s="601" t="e">
        <f>1-(AC50/AD50)</f>
        <v>#DIV/0!</v>
      </c>
      <c r="AF50" s="589">
        <f t="shared" si="143"/>
        <v>0</v>
      </c>
      <c r="AG50" s="589">
        <f t="shared" si="143"/>
        <v>0</v>
      </c>
      <c r="AH50" s="571" t="e">
        <f>1-(AF50/AG50)</f>
        <v>#DIV/0!</v>
      </c>
      <c r="AI50" s="622">
        <f t="shared" ref="AI50:AJ50" si="145">AI41-AI43-AI46</f>
        <v>0</v>
      </c>
      <c r="AJ50" s="622">
        <f t="shared" si="145"/>
        <v>0</v>
      </c>
      <c r="AK50" s="601" t="e">
        <f>1-(AI50/AJ50)</f>
        <v>#DIV/0!</v>
      </c>
      <c r="AL50" s="589">
        <f t="shared" ref="AL50:AP50" si="146">AL41-AL43-AL46</f>
        <v>0</v>
      </c>
      <c r="AM50" s="589">
        <f t="shared" si="146"/>
        <v>0</v>
      </c>
      <c r="AN50" s="571" t="e">
        <f>1-(AL50/AM50)</f>
        <v>#DIV/0!</v>
      </c>
      <c r="AO50" s="632">
        <f t="shared" si="146"/>
        <v>-1131.04</v>
      </c>
      <c r="AP50" s="632">
        <f t="shared" si="146"/>
        <v>0</v>
      </c>
      <c r="AQ50" s="643" t="e">
        <f>1-(AO50/AP50)</f>
        <v>#DIV/0!</v>
      </c>
    </row>
    <row r="51" spans="2:43" ht="24" customHeight="1" thickTop="1" thickBot="1" x14ac:dyDescent="0.3">
      <c r="E51" s="600"/>
      <c r="F51" s="600"/>
      <c r="G51" s="600"/>
      <c r="H51" s="588"/>
      <c r="I51" s="588"/>
      <c r="J51" s="588"/>
      <c r="K51" s="600"/>
      <c r="L51" s="600"/>
      <c r="M51" s="600"/>
      <c r="N51" s="588"/>
      <c r="O51" s="588"/>
      <c r="P51" s="588"/>
      <c r="Q51" s="600"/>
      <c r="R51" s="600"/>
      <c r="S51" s="600"/>
      <c r="T51" s="588"/>
      <c r="U51" s="588"/>
      <c r="V51" s="588"/>
      <c r="W51" s="600"/>
      <c r="X51" s="600"/>
      <c r="Y51" s="600"/>
      <c r="Z51" s="588"/>
      <c r="AA51" s="588"/>
      <c r="AB51" s="588"/>
      <c r="AC51" s="600"/>
      <c r="AD51" s="600"/>
      <c r="AE51" s="600"/>
      <c r="AF51" s="588"/>
      <c r="AG51" s="588"/>
      <c r="AH51" s="588"/>
      <c r="AI51" s="600"/>
      <c r="AJ51" s="600"/>
      <c r="AK51" s="600"/>
      <c r="AL51" s="588"/>
      <c r="AM51" s="588"/>
      <c r="AN51" s="588"/>
      <c r="AO51" s="630"/>
      <c r="AP51" s="630"/>
      <c r="AQ51" s="631"/>
    </row>
    <row r="52" spans="2:43" ht="24" customHeight="1" thickTop="1" thickBot="1" x14ac:dyDescent="0.4">
      <c r="B52" s="1702" t="s">
        <v>283</v>
      </c>
      <c r="C52" s="1703"/>
      <c r="D52" s="1704"/>
      <c r="E52" s="621">
        <f>E39+E50</f>
        <v>1012.2199999999898</v>
      </c>
      <c r="F52" s="621">
        <f>F39+F50</f>
        <v>0</v>
      </c>
      <c r="G52" s="595" t="e">
        <f>(E52/F52)-1</f>
        <v>#DIV/0!</v>
      </c>
      <c r="H52" s="589">
        <f t="shared" ref="H52:AG52" si="147">H39+H50</f>
        <v>33626.650000000016</v>
      </c>
      <c r="I52" s="589">
        <f t="shared" si="147"/>
        <v>0</v>
      </c>
      <c r="J52" s="592" t="e">
        <f>(H52/I52)-1</f>
        <v>#DIV/0!</v>
      </c>
      <c r="K52" s="1054">
        <f t="shared" si="147"/>
        <v>-19229.38</v>
      </c>
      <c r="L52" s="621">
        <f t="shared" si="147"/>
        <v>0</v>
      </c>
      <c r="M52" s="595" t="e">
        <f>(K52/L52)-1</f>
        <v>#DIV/0!</v>
      </c>
      <c r="N52" s="1055">
        <f t="shared" si="147"/>
        <v>17381.970000000005</v>
      </c>
      <c r="O52" s="589">
        <f t="shared" si="147"/>
        <v>0</v>
      </c>
      <c r="P52" s="592" t="e">
        <f>(N52/O52)-1</f>
        <v>#DIV/0!</v>
      </c>
      <c r="Q52" s="621">
        <f t="shared" si="147"/>
        <v>18306.719999999979</v>
      </c>
      <c r="R52" s="621">
        <f t="shared" si="147"/>
        <v>0</v>
      </c>
      <c r="S52" s="595" t="e">
        <f>(Q52/R52)-1</f>
        <v>#DIV/0!</v>
      </c>
      <c r="T52" s="589">
        <f t="shared" si="147"/>
        <v>-20863.039999999997</v>
      </c>
      <c r="U52" s="589">
        <f t="shared" si="147"/>
        <v>0</v>
      </c>
      <c r="V52" s="592" t="e">
        <f>(T52/U52)-1</f>
        <v>#DIV/0!</v>
      </c>
      <c r="W52" s="621">
        <f t="shared" si="147"/>
        <v>-32759.87</v>
      </c>
      <c r="X52" s="621">
        <f>X39+X50</f>
        <v>0</v>
      </c>
      <c r="Y52" s="595" t="e">
        <f>(W52/X52)-1</f>
        <v>#DIV/0!</v>
      </c>
      <c r="Z52" s="1055">
        <f t="shared" si="147"/>
        <v>-13051.13</v>
      </c>
      <c r="AA52" s="589">
        <f t="shared" si="147"/>
        <v>0</v>
      </c>
      <c r="AB52" s="592" t="e">
        <f>(Z52/AA52)-1</f>
        <v>#DIV/0!</v>
      </c>
      <c r="AC52" s="621">
        <f t="shared" ref="AC52:AD52" si="148">AC39+AC50</f>
        <v>-17430.36</v>
      </c>
      <c r="AD52" s="621">
        <f t="shared" si="148"/>
        <v>0</v>
      </c>
      <c r="AE52" s="595" t="e">
        <f>(AC52/AD52)-1</f>
        <v>#DIV/0!</v>
      </c>
      <c r="AF52" s="589">
        <f>AF39+AF50</f>
        <v>-20007.990000000002</v>
      </c>
      <c r="AG52" s="589">
        <f t="shared" si="147"/>
        <v>0</v>
      </c>
      <c r="AH52" s="592" t="e">
        <f>(AF52/AG52)-1</f>
        <v>#DIV/0!</v>
      </c>
      <c r="AI52" s="1217">
        <f t="shared" ref="AI52:AJ52" si="149">AI39+AI50</f>
        <v>-13754.3</v>
      </c>
      <c r="AJ52" s="622">
        <f t="shared" si="149"/>
        <v>0</v>
      </c>
      <c r="AK52" s="595" t="e">
        <f>(AI52/AJ52)-1</f>
        <v>#DIV/0!</v>
      </c>
      <c r="AL52" s="589">
        <f t="shared" ref="AL52:AP52" si="150">AL39+AL50</f>
        <v>45163.090000000004</v>
      </c>
      <c r="AM52" s="589">
        <f t="shared" si="150"/>
        <v>0</v>
      </c>
      <c r="AN52" s="592" t="e">
        <f>(AL52/AM52)-1</f>
        <v>#DIV/0!</v>
      </c>
      <c r="AO52" s="632">
        <f t="shared" si="150"/>
        <v>-21605.419999999918</v>
      </c>
      <c r="AP52" s="632">
        <f t="shared" si="150"/>
        <v>0</v>
      </c>
      <c r="AQ52" s="636" t="e">
        <f>(AO52/AP52)-1</f>
        <v>#DIV/0!</v>
      </c>
    </row>
    <row r="53" spans="2:43" ht="24" customHeight="1" thickTop="1" thickBot="1" x14ac:dyDescent="0.4">
      <c r="B53" s="1702" t="s">
        <v>910</v>
      </c>
      <c r="C53" s="1703"/>
      <c r="D53" s="1704"/>
      <c r="E53" s="621">
        <f>E52-E48</f>
        <v>1012.2199999999898</v>
      </c>
      <c r="F53" s="621"/>
      <c r="G53" s="595"/>
      <c r="H53" s="589">
        <f>H52-H48</f>
        <v>33626.650000000016</v>
      </c>
      <c r="I53" s="589"/>
      <c r="J53" s="592"/>
      <c r="K53" s="1054">
        <f>K52-K48</f>
        <v>-19229.38</v>
      </c>
      <c r="L53" s="621"/>
      <c r="M53" s="595"/>
      <c r="N53" s="1055">
        <f>N52-N48</f>
        <v>17381.970000000005</v>
      </c>
      <c r="O53" s="589"/>
      <c r="P53" s="592"/>
      <c r="Q53" s="621">
        <f>Q52-Q48</f>
        <v>18306.719999999979</v>
      </c>
      <c r="R53" s="621"/>
      <c r="S53" s="595"/>
      <c r="T53" s="589">
        <f>T52-T48</f>
        <v>-20863.039999999997</v>
      </c>
      <c r="U53" s="589"/>
      <c r="V53" s="592"/>
      <c r="W53" s="621">
        <f>W52-W48</f>
        <v>-32759.87</v>
      </c>
      <c r="X53" s="621"/>
      <c r="Y53" s="595"/>
      <c r="Z53" s="1055">
        <f>Z52-Z48</f>
        <v>-13051.13</v>
      </c>
      <c r="AA53" s="589"/>
      <c r="AB53" s="592"/>
      <c r="AC53" s="621">
        <f>AC52-AC48</f>
        <v>-17430.36</v>
      </c>
      <c r="AD53" s="621"/>
      <c r="AE53" s="595"/>
      <c r="AF53" s="589">
        <f>AF52-AF48</f>
        <v>-20007.990000000002</v>
      </c>
      <c r="AG53" s="589"/>
      <c r="AH53" s="592"/>
      <c r="AI53" s="1217">
        <f>AI52-AI48</f>
        <v>-13754.3</v>
      </c>
      <c r="AJ53" s="622"/>
      <c r="AK53" s="595"/>
      <c r="AL53" s="589">
        <f>AL52-AL48</f>
        <v>45163.090000000004</v>
      </c>
      <c r="AM53" s="589"/>
      <c r="AN53" s="592"/>
      <c r="AO53" s="632">
        <f>AO52-AO48</f>
        <v>-21605.419999999918</v>
      </c>
      <c r="AP53" s="632"/>
      <c r="AQ53" s="636"/>
    </row>
    <row r="54" spans="2:43" ht="24" customHeight="1" thickTop="1" x14ac:dyDescent="0.25">
      <c r="G54" s="568"/>
    </row>
  </sheetData>
  <mergeCells count="62">
    <mergeCell ref="B5:D5"/>
    <mergeCell ref="T1:V1"/>
    <mergeCell ref="W1:Y1"/>
    <mergeCell ref="Z1:AB1"/>
    <mergeCell ref="AC1:AE1"/>
    <mergeCell ref="B1:D1"/>
    <mergeCell ref="E1:G1"/>
    <mergeCell ref="H1:J1"/>
    <mergeCell ref="K1:M1"/>
    <mergeCell ref="N1:P1"/>
    <mergeCell ref="Q1:S1"/>
    <mergeCell ref="AL1:AN1"/>
    <mergeCell ref="AO1:AQ1"/>
    <mergeCell ref="B2:D2"/>
    <mergeCell ref="B3:D3"/>
    <mergeCell ref="B4:D4"/>
    <mergeCell ref="AF1:AH1"/>
    <mergeCell ref="AI1:AK1"/>
    <mergeCell ref="B18:D18"/>
    <mergeCell ref="B6:D6"/>
    <mergeCell ref="B7:C7"/>
    <mergeCell ref="B8:D8"/>
    <mergeCell ref="B9:D9"/>
    <mergeCell ref="B10:D10"/>
    <mergeCell ref="B13:D13"/>
    <mergeCell ref="B14:D14"/>
    <mergeCell ref="B15:D15"/>
    <mergeCell ref="B16:C16"/>
    <mergeCell ref="B17:D17"/>
    <mergeCell ref="B11:D11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44:D44"/>
    <mergeCell ref="B31:D31"/>
    <mergeCell ref="B32:D32"/>
    <mergeCell ref="B33:C33"/>
    <mergeCell ref="B34:D34"/>
    <mergeCell ref="B35:D35"/>
    <mergeCell ref="B36:C36"/>
    <mergeCell ref="B37:D37"/>
    <mergeCell ref="B39:D39"/>
    <mergeCell ref="B41:C41"/>
    <mergeCell ref="B42:D42"/>
    <mergeCell ref="B43:C43"/>
    <mergeCell ref="B38:D38"/>
    <mergeCell ref="B53:D53"/>
    <mergeCell ref="B45:D45"/>
    <mergeCell ref="B46:C46"/>
    <mergeCell ref="B47:D47"/>
    <mergeCell ref="B50:D50"/>
    <mergeCell ref="B52:D52"/>
    <mergeCell ref="B48:D48"/>
  </mergeCells>
  <pageMargins left="0.7" right="0.7" top="0.75" bottom="0.75" header="0.3" footer="0.3"/>
  <pageSetup paperSize="9" orientation="portrait" r:id="rId1"/>
  <ignoredErrors>
    <ignoredError sqref="AP7" formula="1"/>
    <ignoredError sqref="AQ3:AQ10 AE3:AE12 V19:V20 V22:V27 AQ12:AQ19" evalError="1"/>
    <ignoredError sqref="V21" evalError="1" formula="1"/>
  </ignoredError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  <pageSetUpPr fitToPage="1"/>
  </sheetPr>
  <dimension ref="A4:M27"/>
  <sheetViews>
    <sheetView topLeftCell="A4" workbookViewId="0">
      <selection activeCell="D8" sqref="D8"/>
    </sheetView>
  </sheetViews>
  <sheetFormatPr baseColWidth="10" defaultRowHeight="12.75" x14ac:dyDescent="0.2"/>
  <cols>
    <col min="1" max="1" width="30.5703125" style="396" bestFit="1" customWidth="1"/>
    <col min="2" max="4" width="13.7109375" style="396" customWidth="1"/>
    <col min="5" max="5" width="13.85546875" style="396" customWidth="1"/>
    <col min="6" max="6" width="13.7109375" style="396" customWidth="1"/>
    <col min="7" max="7" width="15.140625" style="396" customWidth="1"/>
    <col min="8" max="9" width="13.5703125" style="396" customWidth="1"/>
    <col min="10" max="10" width="12.5703125" style="396" customWidth="1"/>
    <col min="11" max="11" width="14.42578125" style="396" customWidth="1"/>
    <col min="12" max="12" width="12.7109375" style="396" customWidth="1"/>
    <col min="13" max="256" width="11.42578125" style="396"/>
    <col min="257" max="257" width="30.5703125" style="396" bestFit="1" customWidth="1"/>
    <col min="258" max="258" width="9.28515625" style="396" bestFit="1" customWidth="1"/>
    <col min="259" max="260" width="8.42578125" style="396" bestFit="1" customWidth="1"/>
    <col min="261" max="261" width="17.42578125" style="396" customWidth="1"/>
    <col min="262" max="262" width="20.28515625" style="396" customWidth="1"/>
    <col min="263" max="263" width="14" style="396" customWidth="1"/>
    <col min="264" max="512" width="11.42578125" style="396"/>
    <col min="513" max="513" width="30.5703125" style="396" bestFit="1" customWidth="1"/>
    <col min="514" max="514" width="9.28515625" style="396" bestFit="1" customWidth="1"/>
    <col min="515" max="516" width="8.42578125" style="396" bestFit="1" customWidth="1"/>
    <col min="517" max="517" width="17.42578125" style="396" customWidth="1"/>
    <col min="518" max="518" width="20.28515625" style="396" customWidth="1"/>
    <col min="519" max="519" width="14" style="396" customWidth="1"/>
    <col min="520" max="768" width="11.42578125" style="396"/>
    <col min="769" max="769" width="30.5703125" style="396" bestFit="1" customWidth="1"/>
    <col min="770" max="770" width="9.28515625" style="396" bestFit="1" customWidth="1"/>
    <col min="771" max="772" width="8.42578125" style="396" bestFit="1" customWidth="1"/>
    <col min="773" max="773" width="17.42578125" style="396" customWidth="1"/>
    <col min="774" max="774" width="20.28515625" style="396" customWidth="1"/>
    <col min="775" max="775" width="14" style="396" customWidth="1"/>
    <col min="776" max="1024" width="11.42578125" style="396"/>
    <col min="1025" max="1025" width="30.5703125" style="396" bestFit="1" customWidth="1"/>
    <col min="1026" max="1026" width="9.28515625" style="396" bestFit="1" customWidth="1"/>
    <col min="1027" max="1028" width="8.42578125" style="396" bestFit="1" customWidth="1"/>
    <col min="1029" max="1029" width="17.42578125" style="396" customWidth="1"/>
    <col min="1030" max="1030" width="20.28515625" style="396" customWidth="1"/>
    <col min="1031" max="1031" width="14" style="396" customWidth="1"/>
    <col min="1032" max="1280" width="11.42578125" style="396"/>
    <col min="1281" max="1281" width="30.5703125" style="396" bestFit="1" customWidth="1"/>
    <col min="1282" max="1282" width="9.28515625" style="396" bestFit="1" customWidth="1"/>
    <col min="1283" max="1284" width="8.42578125" style="396" bestFit="1" customWidth="1"/>
    <col min="1285" max="1285" width="17.42578125" style="396" customWidth="1"/>
    <col min="1286" max="1286" width="20.28515625" style="396" customWidth="1"/>
    <col min="1287" max="1287" width="14" style="396" customWidth="1"/>
    <col min="1288" max="1536" width="11.42578125" style="396"/>
    <col min="1537" max="1537" width="30.5703125" style="396" bestFit="1" customWidth="1"/>
    <col min="1538" max="1538" width="9.28515625" style="396" bestFit="1" customWidth="1"/>
    <col min="1539" max="1540" width="8.42578125" style="396" bestFit="1" customWidth="1"/>
    <col min="1541" max="1541" width="17.42578125" style="396" customWidth="1"/>
    <col min="1542" max="1542" width="20.28515625" style="396" customWidth="1"/>
    <col min="1543" max="1543" width="14" style="396" customWidth="1"/>
    <col min="1544" max="1792" width="11.42578125" style="396"/>
    <col min="1793" max="1793" width="30.5703125" style="396" bestFit="1" customWidth="1"/>
    <col min="1794" max="1794" width="9.28515625" style="396" bestFit="1" customWidth="1"/>
    <col min="1795" max="1796" width="8.42578125" style="396" bestFit="1" customWidth="1"/>
    <col min="1797" max="1797" width="17.42578125" style="396" customWidth="1"/>
    <col min="1798" max="1798" width="20.28515625" style="396" customWidth="1"/>
    <col min="1799" max="1799" width="14" style="396" customWidth="1"/>
    <col min="1800" max="2048" width="11.42578125" style="396"/>
    <col min="2049" max="2049" width="30.5703125" style="396" bestFit="1" customWidth="1"/>
    <col min="2050" max="2050" width="9.28515625" style="396" bestFit="1" customWidth="1"/>
    <col min="2051" max="2052" width="8.42578125" style="396" bestFit="1" customWidth="1"/>
    <col min="2053" max="2053" width="17.42578125" style="396" customWidth="1"/>
    <col min="2054" max="2054" width="20.28515625" style="396" customWidth="1"/>
    <col min="2055" max="2055" width="14" style="396" customWidth="1"/>
    <col min="2056" max="2304" width="11.42578125" style="396"/>
    <col min="2305" max="2305" width="30.5703125" style="396" bestFit="1" customWidth="1"/>
    <col min="2306" max="2306" width="9.28515625" style="396" bestFit="1" customWidth="1"/>
    <col min="2307" max="2308" width="8.42578125" style="396" bestFit="1" customWidth="1"/>
    <col min="2309" max="2309" width="17.42578125" style="396" customWidth="1"/>
    <col min="2310" max="2310" width="20.28515625" style="396" customWidth="1"/>
    <col min="2311" max="2311" width="14" style="396" customWidth="1"/>
    <col min="2312" max="2560" width="11.42578125" style="396"/>
    <col min="2561" max="2561" width="30.5703125" style="396" bestFit="1" customWidth="1"/>
    <col min="2562" max="2562" width="9.28515625" style="396" bestFit="1" customWidth="1"/>
    <col min="2563" max="2564" width="8.42578125" style="396" bestFit="1" customWidth="1"/>
    <col min="2565" max="2565" width="17.42578125" style="396" customWidth="1"/>
    <col min="2566" max="2566" width="20.28515625" style="396" customWidth="1"/>
    <col min="2567" max="2567" width="14" style="396" customWidth="1"/>
    <col min="2568" max="2816" width="11.42578125" style="396"/>
    <col min="2817" max="2817" width="30.5703125" style="396" bestFit="1" customWidth="1"/>
    <col min="2818" max="2818" width="9.28515625" style="396" bestFit="1" customWidth="1"/>
    <col min="2819" max="2820" width="8.42578125" style="396" bestFit="1" customWidth="1"/>
    <col min="2821" max="2821" width="17.42578125" style="396" customWidth="1"/>
    <col min="2822" max="2822" width="20.28515625" style="396" customWidth="1"/>
    <col min="2823" max="2823" width="14" style="396" customWidth="1"/>
    <col min="2824" max="3072" width="11.42578125" style="396"/>
    <col min="3073" max="3073" width="30.5703125" style="396" bestFit="1" customWidth="1"/>
    <col min="3074" max="3074" width="9.28515625" style="396" bestFit="1" customWidth="1"/>
    <col min="3075" max="3076" width="8.42578125" style="396" bestFit="1" customWidth="1"/>
    <col min="3077" max="3077" width="17.42578125" style="396" customWidth="1"/>
    <col min="3078" max="3078" width="20.28515625" style="396" customWidth="1"/>
    <col min="3079" max="3079" width="14" style="396" customWidth="1"/>
    <col min="3080" max="3328" width="11.42578125" style="396"/>
    <col min="3329" max="3329" width="30.5703125" style="396" bestFit="1" customWidth="1"/>
    <col min="3330" max="3330" width="9.28515625" style="396" bestFit="1" customWidth="1"/>
    <col min="3331" max="3332" width="8.42578125" style="396" bestFit="1" customWidth="1"/>
    <col min="3333" max="3333" width="17.42578125" style="396" customWidth="1"/>
    <col min="3334" max="3334" width="20.28515625" style="396" customWidth="1"/>
    <col min="3335" max="3335" width="14" style="396" customWidth="1"/>
    <col min="3336" max="3584" width="11.42578125" style="396"/>
    <col min="3585" max="3585" width="30.5703125" style="396" bestFit="1" customWidth="1"/>
    <col min="3586" max="3586" width="9.28515625" style="396" bestFit="1" customWidth="1"/>
    <col min="3587" max="3588" width="8.42578125" style="396" bestFit="1" customWidth="1"/>
    <col min="3589" max="3589" width="17.42578125" style="396" customWidth="1"/>
    <col min="3590" max="3590" width="20.28515625" style="396" customWidth="1"/>
    <col min="3591" max="3591" width="14" style="396" customWidth="1"/>
    <col min="3592" max="3840" width="11.42578125" style="396"/>
    <col min="3841" max="3841" width="30.5703125" style="396" bestFit="1" customWidth="1"/>
    <col min="3842" max="3842" width="9.28515625" style="396" bestFit="1" customWidth="1"/>
    <col min="3843" max="3844" width="8.42578125" style="396" bestFit="1" customWidth="1"/>
    <col min="3845" max="3845" width="17.42578125" style="396" customWidth="1"/>
    <col min="3846" max="3846" width="20.28515625" style="396" customWidth="1"/>
    <col min="3847" max="3847" width="14" style="396" customWidth="1"/>
    <col min="3848" max="4096" width="11.42578125" style="396"/>
    <col min="4097" max="4097" width="30.5703125" style="396" bestFit="1" customWidth="1"/>
    <col min="4098" max="4098" width="9.28515625" style="396" bestFit="1" customWidth="1"/>
    <col min="4099" max="4100" width="8.42578125" style="396" bestFit="1" customWidth="1"/>
    <col min="4101" max="4101" width="17.42578125" style="396" customWidth="1"/>
    <col min="4102" max="4102" width="20.28515625" style="396" customWidth="1"/>
    <col min="4103" max="4103" width="14" style="396" customWidth="1"/>
    <col min="4104" max="4352" width="11.42578125" style="396"/>
    <col min="4353" max="4353" width="30.5703125" style="396" bestFit="1" customWidth="1"/>
    <col min="4354" max="4354" width="9.28515625" style="396" bestFit="1" customWidth="1"/>
    <col min="4355" max="4356" width="8.42578125" style="396" bestFit="1" customWidth="1"/>
    <col min="4357" max="4357" width="17.42578125" style="396" customWidth="1"/>
    <col min="4358" max="4358" width="20.28515625" style="396" customWidth="1"/>
    <col min="4359" max="4359" width="14" style="396" customWidth="1"/>
    <col min="4360" max="4608" width="11.42578125" style="396"/>
    <col min="4609" max="4609" width="30.5703125" style="396" bestFit="1" customWidth="1"/>
    <col min="4610" max="4610" width="9.28515625" style="396" bestFit="1" customWidth="1"/>
    <col min="4611" max="4612" width="8.42578125" style="396" bestFit="1" customWidth="1"/>
    <col min="4613" max="4613" width="17.42578125" style="396" customWidth="1"/>
    <col min="4614" max="4614" width="20.28515625" style="396" customWidth="1"/>
    <col min="4615" max="4615" width="14" style="396" customWidth="1"/>
    <col min="4616" max="4864" width="11.42578125" style="396"/>
    <col min="4865" max="4865" width="30.5703125" style="396" bestFit="1" customWidth="1"/>
    <col min="4866" max="4866" width="9.28515625" style="396" bestFit="1" customWidth="1"/>
    <col min="4867" max="4868" width="8.42578125" style="396" bestFit="1" customWidth="1"/>
    <col min="4869" max="4869" width="17.42578125" style="396" customWidth="1"/>
    <col min="4870" max="4870" width="20.28515625" style="396" customWidth="1"/>
    <col min="4871" max="4871" width="14" style="396" customWidth="1"/>
    <col min="4872" max="5120" width="11.42578125" style="396"/>
    <col min="5121" max="5121" width="30.5703125" style="396" bestFit="1" customWidth="1"/>
    <col min="5122" max="5122" width="9.28515625" style="396" bestFit="1" customWidth="1"/>
    <col min="5123" max="5124" width="8.42578125" style="396" bestFit="1" customWidth="1"/>
    <col min="5125" max="5125" width="17.42578125" style="396" customWidth="1"/>
    <col min="5126" max="5126" width="20.28515625" style="396" customWidth="1"/>
    <col min="5127" max="5127" width="14" style="396" customWidth="1"/>
    <col min="5128" max="5376" width="11.42578125" style="396"/>
    <col min="5377" max="5377" width="30.5703125" style="396" bestFit="1" customWidth="1"/>
    <col min="5378" max="5378" width="9.28515625" style="396" bestFit="1" customWidth="1"/>
    <col min="5379" max="5380" width="8.42578125" style="396" bestFit="1" customWidth="1"/>
    <col min="5381" max="5381" width="17.42578125" style="396" customWidth="1"/>
    <col min="5382" max="5382" width="20.28515625" style="396" customWidth="1"/>
    <col min="5383" max="5383" width="14" style="396" customWidth="1"/>
    <col min="5384" max="5632" width="11.42578125" style="396"/>
    <col min="5633" max="5633" width="30.5703125" style="396" bestFit="1" customWidth="1"/>
    <col min="5634" max="5634" width="9.28515625" style="396" bestFit="1" customWidth="1"/>
    <col min="5635" max="5636" width="8.42578125" style="396" bestFit="1" customWidth="1"/>
    <col min="5637" max="5637" width="17.42578125" style="396" customWidth="1"/>
    <col min="5638" max="5638" width="20.28515625" style="396" customWidth="1"/>
    <col min="5639" max="5639" width="14" style="396" customWidth="1"/>
    <col min="5640" max="5888" width="11.42578125" style="396"/>
    <col min="5889" max="5889" width="30.5703125" style="396" bestFit="1" customWidth="1"/>
    <col min="5890" max="5890" width="9.28515625" style="396" bestFit="1" customWidth="1"/>
    <col min="5891" max="5892" width="8.42578125" style="396" bestFit="1" customWidth="1"/>
    <col min="5893" max="5893" width="17.42578125" style="396" customWidth="1"/>
    <col min="5894" max="5894" width="20.28515625" style="396" customWidth="1"/>
    <col min="5895" max="5895" width="14" style="396" customWidth="1"/>
    <col min="5896" max="6144" width="11.42578125" style="396"/>
    <col min="6145" max="6145" width="30.5703125" style="396" bestFit="1" customWidth="1"/>
    <col min="6146" max="6146" width="9.28515625" style="396" bestFit="1" customWidth="1"/>
    <col min="6147" max="6148" width="8.42578125" style="396" bestFit="1" customWidth="1"/>
    <col min="6149" max="6149" width="17.42578125" style="396" customWidth="1"/>
    <col min="6150" max="6150" width="20.28515625" style="396" customWidth="1"/>
    <col min="6151" max="6151" width="14" style="396" customWidth="1"/>
    <col min="6152" max="6400" width="11.42578125" style="396"/>
    <col min="6401" max="6401" width="30.5703125" style="396" bestFit="1" customWidth="1"/>
    <col min="6402" max="6402" width="9.28515625" style="396" bestFit="1" customWidth="1"/>
    <col min="6403" max="6404" width="8.42578125" style="396" bestFit="1" customWidth="1"/>
    <col min="6405" max="6405" width="17.42578125" style="396" customWidth="1"/>
    <col min="6406" max="6406" width="20.28515625" style="396" customWidth="1"/>
    <col min="6407" max="6407" width="14" style="396" customWidth="1"/>
    <col min="6408" max="6656" width="11.42578125" style="396"/>
    <col min="6657" max="6657" width="30.5703125" style="396" bestFit="1" customWidth="1"/>
    <col min="6658" max="6658" width="9.28515625" style="396" bestFit="1" customWidth="1"/>
    <col min="6659" max="6660" width="8.42578125" style="396" bestFit="1" customWidth="1"/>
    <col min="6661" max="6661" width="17.42578125" style="396" customWidth="1"/>
    <col min="6662" max="6662" width="20.28515625" style="396" customWidth="1"/>
    <col min="6663" max="6663" width="14" style="396" customWidth="1"/>
    <col min="6664" max="6912" width="11.42578125" style="396"/>
    <col min="6913" max="6913" width="30.5703125" style="396" bestFit="1" customWidth="1"/>
    <col min="6914" max="6914" width="9.28515625" style="396" bestFit="1" customWidth="1"/>
    <col min="6915" max="6916" width="8.42578125" style="396" bestFit="1" customWidth="1"/>
    <col min="6917" max="6917" width="17.42578125" style="396" customWidth="1"/>
    <col min="6918" max="6918" width="20.28515625" style="396" customWidth="1"/>
    <col min="6919" max="6919" width="14" style="396" customWidth="1"/>
    <col min="6920" max="7168" width="11.42578125" style="396"/>
    <col min="7169" max="7169" width="30.5703125" style="396" bestFit="1" customWidth="1"/>
    <col min="7170" max="7170" width="9.28515625" style="396" bestFit="1" customWidth="1"/>
    <col min="7171" max="7172" width="8.42578125" style="396" bestFit="1" customWidth="1"/>
    <col min="7173" max="7173" width="17.42578125" style="396" customWidth="1"/>
    <col min="7174" max="7174" width="20.28515625" style="396" customWidth="1"/>
    <col min="7175" max="7175" width="14" style="396" customWidth="1"/>
    <col min="7176" max="7424" width="11.42578125" style="396"/>
    <col min="7425" max="7425" width="30.5703125" style="396" bestFit="1" customWidth="1"/>
    <col min="7426" max="7426" width="9.28515625" style="396" bestFit="1" customWidth="1"/>
    <col min="7427" max="7428" width="8.42578125" style="396" bestFit="1" customWidth="1"/>
    <col min="7429" max="7429" width="17.42578125" style="396" customWidth="1"/>
    <col min="7430" max="7430" width="20.28515625" style="396" customWidth="1"/>
    <col min="7431" max="7431" width="14" style="396" customWidth="1"/>
    <col min="7432" max="7680" width="11.42578125" style="396"/>
    <col min="7681" max="7681" width="30.5703125" style="396" bestFit="1" customWidth="1"/>
    <col min="7682" max="7682" width="9.28515625" style="396" bestFit="1" customWidth="1"/>
    <col min="7683" max="7684" width="8.42578125" style="396" bestFit="1" customWidth="1"/>
    <col min="7685" max="7685" width="17.42578125" style="396" customWidth="1"/>
    <col min="7686" max="7686" width="20.28515625" style="396" customWidth="1"/>
    <col min="7687" max="7687" width="14" style="396" customWidth="1"/>
    <col min="7688" max="7936" width="11.42578125" style="396"/>
    <col min="7937" max="7937" width="30.5703125" style="396" bestFit="1" customWidth="1"/>
    <col min="7938" max="7938" width="9.28515625" style="396" bestFit="1" customWidth="1"/>
    <col min="7939" max="7940" width="8.42578125" style="396" bestFit="1" customWidth="1"/>
    <col min="7941" max="7941" width="17.42578125" style="396" customWidth="1"/>
    <col min="7942" max="7942" width="20.28515625" style="396" customWidth="1"/>
    <col min="7943" max="7943" width="14" style="396" customWidth="1"/>
    <col min="7944" max="8192" width="11.42578125" style="396"/>
    <col min="8193" max="8193" width="30.5703125" style="396" bestFit="1" customWidth="1"/>
    <col min="8194" max="8194" width="9.28515625" style="396" bestFit="1" customWidth="1"/>
    <col min="8195" max="8196" width="8.42578125" style="396" bestFit="1" customWidth="1"/>
    <col min="8197" max="8197" width="17.42578125" style="396" customWidth="1"/>
    <col min="8198" max="8198" width="20.28515625" style="396" customWidth="1"/>
    <col min="8199" max="8199" width="14" style="396" customWidth="1"/>
    <col min="8200" max="8448" width="11.42578125" style="396"/>
    <col min="8449" max="8449" width="30.5703125" style="396" bestFit="1" customWidth="1"/>
    <col min="8450" max="8450" width="9.28515625" style="396" bestFit="1" customWidth="1"/>
    <col min="8451" max="8452" width="8.42578125" style="396" bestFit="1" customWidth="1"/>
    <col min="8453" max="8453" width="17.42578125" style="396" customWidth="1"/>
    <col min="8454" max="8454" width="20.28515625" style="396" customWidth="1"/>
    <col min="8455" max="8455" width="14" style="396" customWidth="1"/>
    <col min="8456" max="8704" width="11.42578125" style="396"/>
    <col min="8705" max="8705" width="30.5703125" style="396" bestFit="1" customWidth="1"/>
    <col min="8706" max="8706" width="9.28515625" style="396" bestFit="1" customWidth="1"/>
    <col min="8707" max="8708" width="8.42578125" style="396" bestFit="1" customWidth="1"/>
    <col min="8709" max="8709" width="17.42578125" style="396" customWidth="1"/>
    <col min="8710" max="8710" width="20.28515625" style="396" customWidth="1"/>
    <col min="8711" max="8711" width="14" style="396" customWidth="1"/>
    <col min="8712" max="8960" width="11.42578125" style="396"/>
    <col min="8961" max="8961" width="30.5703125" style="396" bestFit="1" customWidth="1"/>
    <col min="8962" max="8962" width="9.28515625" style="396" bestFit="1" customWidth="1"/>
    <col min="8963" max="8964" width="8.42578125" style="396" bestFit="1" customWidth="1"/>
    <col min="8965" max="8965" width="17.42578125" style="396" customWidth="1"/>
    <col min="8966" max="8966" width="20.28515625" style="396" customWidth="1"/>
    <col min="8967" max="8967" width="14" style="396" customWidth="1"/>
    <col min="8968" max="9216" width="11.42578125" style="396"/>
    <col min="9217" max="9217" width="30.5703125" style="396" bestFit="1" customWidth="1"/>
    <col min="9218" max="9218" width="9.28515625" style="396" bestFit="1" customWidth="1"/>
    <col min="9219" max="9220" width="8.42578125" style="396" bestFit="1" customWidth="1"/>
    <col min="9221" max="9221" width="17.42578125" style="396" customWidth="1"/>
    <col min="9222" max="9222" width="20.28515625" style="396" customWidth="1"/>
    <col min="9223" max="9223" width="14" style="396" customWidth="1"/>
    <col min="9224" max="9472" width="11.42578125" style="396"/>
    <col min="9473" max="9473" width="30.5703125" style="396" bestFit="1" customWidth="1"/>
    <col min="9474" max="9474" width="9.28515625" style="396" bestFit="1" customWidth="1"/>
    <col min="9475" max="9476" width="8.42578125" style="396" bestFit="1" customWidth="1"/>
    <col min="9477" max="9477" width="17.42578125" style="396" customWidth="1"/>
    <col min="9478" max="9478" width="20.28515625" style="396" customWidth="1"/>
    <col min="9479" max="9479" width="14" style="396" customWidth="1"/>
    <col min="9480" max="9728" width="11.42578125" style="396"/>
    <col min="9729" max="9729" width="30.5703125" style="396" bestFit="1" customWidth="1"/>
    <col min="9730" max="9730" width="9.28515625" style="396" bestFit="1" customWidth="1"/>
    <col min="9731" max="9732" width="8.42578125" style="396" bestFit="1" customWidth="1"/>
    <col min="9733" max="9733" width="17.42578125" style="396" customWidth="1"/>
    <col min="9734" max="9734" width="20.28515625" style="396" customWidth="1"/>
    <col min="9735" max="9735" width="14" style="396" customWidth="1"/>
    <col min="9736" max="9984" width="11.42578125" style="396"/>
    <col min="9985" max="9985" width="30.5703125" style="396" bestFit="1" customWidth="1"/>
    <col min="9986" max="9986" width="9.28515625" style="396" bestFit="1" customWidth="1"/>
    <col min="9987" max="9988" width="8.42578125" style="396" bestFit="1" customWidth="1"/>
    <col min="9989" max="9989" width="17.42578125" style="396" customWidth="1"/>
    <col min="9990" max="9990" width="20.28515625" style="396" customWidth="1"/>
    <col min="9991" max="9991" width="14" style="396" customWidth="1"/>
    <col min="9992" max="10240" width="11.42578125" style="396"/>
    <col min="10241" max="10241" width="30.5703125" style="396" bestFit="1" customWidth="1"/>
    <col min="10242" max="10242" width="9.28515625" style="396" bestFit="1" customWidth="1"/>
    <col min="10243" max="10244" width="8.42578125" style="396" bestFit="1" customWidth="1"/>
    <col min="10245" max="10245" width="17.42578125" style="396" customWidth="1"/>
    <col min="10246" max="10246" width="20.28515625" style="396" customWidth="1"/>
    <col min="10247" max="10247" width="14" style="396" customWidth="1"/>
    <col min="10248" max="10496" width="11.42578125" style="396"/>
    <col min="10497" max="10497" width="30.5703125" style="396" bestFit="1" customWidth="1"/>
    <col min="10498" max="10498" width="9.28515625" style="396" bestFit="1" customWidth="1"/>
    <col min="10499" max="10500" width="8.42578125" style="396" bestFit="1" customWidth="1"/>
    <col min="10501" max="10501" width="17.42578125" style="396" customWidth="1"/>
    <col min="10502" max="10502" width="20.28515625" style="396" customWidth="1"/>
    <col min="10503" max="10503" width="14" style="396" customWidth="1"/>
    <col min="10504" max="10752" width="11.42578125" style="396"/>
    <col min="10753" max="10753" width="30.5703125" style="396" bestFit="1" customWidth="1"/>
    <col min="10754" max="10754" width="9.28515625" style="396" bestFit="1" customWidth="1"/>
    <col min="10755" max="10756" width="8.42578125" style="396" bestFit="1" customWidth="1"/>
    <col min="10757" max="10757" width="17.42578125" style="396" customWidth="1"/>
    <col min="10758" max="10758" width="20.28515625" style="396" customWidth="1"/>
    <col min="10759" max="10759" width="14" style="396" customWidth="1"/>
    <col min="10760" max="11008" width="11.42578125" style="396"/>
    <col min="11009" max="11009" width="30.5703125" style="396" bestFit="1" customWidth="1"/>
    <col min="11010" max="11010" width="9.28515625" style="396" bestFit="1" customWidth="1"/>
    <col min="11011" max="11012" width="8.42578125" style="396" bestFit="1" customWidth="1"/>
    <col min="11013" max="11013" width="17.42578125" style="396" customWidth="1"/>
    <col min="11014" max="11014" width="20.28515625" style="396" customWidth="1"/>
    <col min="11015" max="11015" width="14" style="396" customWidth="1"/>
    <col min="11016" max="11264" width="11.42578125" style="396"/>
    <col min="11265" max="11265" width="30.5703125" style="396" bestFit="1" customWidth="1"/>
    <col min="11266" max="11266" width="9.28515625" style="396" bestFit="1" customWidth="1"/>
    <col min="11267" max="11268" width="8.42578125" style="396" bestFit="1" customWidth="1"/>
    <col min="11269" max="11269" width="17.42578125" style="396" customWidth="1"/>
    <col min="11270" max="11270" width="20.28515625" style="396" customWidth="1"/>
    <col min="11271" max="11271" width="14" style="396" customWidth="1"/>
    <col min="11272" max="11520" width="11.42578125" style="396"/>
    <col min="11521" max="11521" width="30.5703125" style="396" bestFit="1" customWidth="1"/>
    <col min="11522" max="11522" width="9.28515625" style="396" bestFit="1" customWidth="1"/>
    <col min="11523" max="11524" width="8.42578125" style="396" bestFit="1" customWidth="1"/>
    <col min="11525" max="11525" width="17.42578125" style="396" customWidth="1"/>
    <col min="11526" max="11526" width="20.28515625" style="396" customWidth="1"/>
    <col min="11527" max="11527" width="14" style="396" customWidth="1"/>
    <col min="11528" max="11776" width="11.42578125" style="396"/>
    <col min="11777" max="11777" width="30.5703125" style="396" bestFit="1" customWidth="1"/>
    <col min="11778" max="11778" width="9.28515625" style="396" bestFit="1" customWidth="1"/>
    <col min="11779" max="11780" width="8.42578125" style="396" bestFit="1" customWidth="1"/>
    <col min="11781" max="11781" width="17.42578125" style="396" customWidth="1"/>
    <col min="11782" max="11782" width="20.28515625" style="396" customWidth="1"/>
    <col min="11783" max="11783" width="14" style="396" customWidth="1"/>
    <col min="11784" max="12032" width="11.42578125" style="396"/>
    <col min="12033" max="12033" width="30.5703125" style="396" bestFit="1" customWidth="1"/>
    <col min="12034" max="12034" width="9.28515625" style="396" bestFit="1" customWidth="1"/>
    <col min="12035" max="12036" width="8.42578125" style="396" bestFit="1" customWidth="1"/>
    <col min="12037" max="12037" width="17.42578125" style="396" customWidth="1"/>
    <col min="12038" max="12038" width="20.28515625" style="396" customWidth="1"/>
    <col min="12039" max="12039" width="14" style="396" customWidth="1"/>
    <col min="12040" max="12288" width="11.42578125" style="396"/>
    <col min="12289" max="12289" width="30.5703125" style="396" bestFit="1" customWidth="1"/>
    <col min="12290" max="12290" width="9.28515625" style="396" bestFit="1" customWidth="1"/>
    <col min="12291" max="12292" width="8.42578125" style="396" bestFit="1" customWidth="1"/>
    <col min="12293" max="12293" width="17.42578125" style="396" customWidth="1"/>
    <col min="12294" max="12294" width="20.28515625" style="396" customWidth="1"/>
    <col min="12295" max="12295" width="14" style="396" customWidth="1"/>
    <col min="12296" max="12544" width="11.42578125" style="396"/>
    <col min="12545" max="12545" width="30.5703125" style="396" bestFit="1" customWidth="1"/>
    <col min="12546" max="12546" width="9.28515625" style="396" bestFit="1" customWidth="1"/>
    <col min="12547" max="12548" width="8.42578125" style="396" bestFit="1" customWidth="1"/>
    <col min="12549" max="12549" width="17.42578125" style="396" customWidth="1"/>
    <col min="12550" max="12550" width="20.28515625" style="396" customWidth="1"/>
    <col min="12551" max="12551" width="14" style="396" customWidth="1"/>
    <col min="12552" max="12800" width="11.42578125" style="396"/>
    <col min="12801" max="12801" width="30.5703125" style="396" bestFit="1" customWidth="1"/>
    <col min="12802" max="12802" width="9.28515625" style="396" bestFit="1" customWidth="1"/>
    <col min="12803" max="12804" width="8.42578125" style="396" bestFit="1" customWidth="1"/>
    <col min="12805" max="12805" width="17.42578125" style="396" customWidth="1"/>
    <col min="12806" max="12806" width="20.28515625" style="396" customWidth="1"/>
    <col min="12807" max="12807" width="14" style="396" customWidth="1"/>
    <col min="12808" max="13056" width="11.42578125" style="396"/>
    <col min="13057" max="13057" width="30.5703125" style="396" bestFit="1" customWidth="1"/>
    <col min="13058" max="13058" width="9.28515625" style="396" bestFit="1" customWidth="1"/>
    <col min="13059" max="13060" width="8.42578125" style="396" bestFit="1" customWidth="1"/>
    <col min="13061" max="13061" width="17.42578125" style="396" customWidth="1"/>
    <col min="13062" max="13062" width="20.28515625" style="396" customWidth="1"/>
    <col min="13063" max="13063" width="14" style="396" customWidth="1"/>
    <col min="13064" max="13312" width="11.42578125" style="396"/>
    <col min="13313" max="13313" width="30.5703125" style="396" bestFit="1" customWidth="1"/>
    <col min="13314" max="13314" width="9.28515625" style="396" bestFit="1" customWidth="1"/>
    <col min="13315" max="13316" width="8.42578125" style="396" bestFit="1" customWidth="1"/>
    <col min="13317" max="13317" width="17.42578125" style="396" customWidth="1"/>
    <col min="13318" max="13318" width="20.28515625" style="396" customWidth="1"/>
    <col min="13319" max="13319" width="14" style="396" customWidth="1"/>
    <col min="13320" max="13568" width="11.42578125" style="396"/>
    <col min="13569" max="13569" width="30.5703125" style="396" bestFit="1" customWidth="1"/>
    <col min="13570" max="13570" width="9.28515625" style="396" bestFit="1" customWidth="1"/>
    <col min="13571" max="13572" width="8.42578125" style="396" bestFit="1" customWidth="1"/>
    <col min="13573" max="13573" width="17.42578125" style="396" customWidth="1"/>
    <col min="13574" max="13574" width="20.28515625" style="396" customWidth="1"/>
    <col min="13575" max="13575" width="14" style="396" customWidth="1"/>
    <col min="13576" max="13824" width="11.42578125" style="396"/>
    <col min="13825" max="13825" width="30.5703125" style="396" bestFit="1" customWidth="1"/>
    <col min="13826" max="13826" width="9.28515625" style="396" bestFit="1" customWidth="1"/>
    <col min="13827" max="13828" width="8.42578125" style="396" bestFit="1" customWidth="1"/>
    <col min="13829" max="13829" width="17.42578125" style="396" customWidth="1"/>
    <col min="13830" max="13830" width="20.28515625" style="396" customWidth="1"/>
    <col min="13831" max="13831" width="14" style="396" customWidth="1"/>
    <col min="13832" max="14080" width="11.42578125" style="396"/>
    <col min="14081" max="14081" width="30.5703125" style="396" bestFit="1" customWidth="1"/>
    <col min="14082" max="14082" width="9.28515625" style="396" bestFit="1" customWidth="1"/>
    <col min="14083" max="14084" width="8.42578125" style="396" bestFit="1" customWidth="1"/>
    <col min="14085" max="14085" width="17.42578125" style="396" customWidth="1"/>
    <col min="14086" max="14086" width="20.28515625" style="396" customWidth="1"/>
    <col min="14087" max="14087" width="14" style="396" customWidth="1"/>
    <col min="14088" max="14336" width="11.42578125" style="396"/>
    <col min="14337" max="14337" width="30.5703125" style="396" bestFit="1" customWidth="1"/>
    <col min="14338" max="14338" width="9.28515625" style="396" bestFit="1" customWidth="1"/>
    <col min="14339" max="14340" width="8.42578125" style="396" bestFit="1" customWidth="1"/>
    <col min="14341" max="14341" width="17.42578125" style="396" customWidth="1"/>
    <col min="14342" max="14342" width="20.28515625" style="396" customWidth="1"/>
    <col min="14343" max="14343" width="14" style="396" customWidth="1"/>
    <col min="14344" max="14592" width="11.42578125" style="396"/>
    <col min="14593" max="14593" width="30.5703125" style="396" bestFit="1" customWidth="1"/>
    <col min="14594" max="14594" width="9.28515625" style="396" bestFit="1" customWidth="1"/>
    <col min="14595" max="14596" width="8.42578125" style="396" bestFit="1" customWidth="1"/>
    <col min="14597" max="14597" width="17.42578125" style="396" customWidth="1"/>
    <col min="14598" max="14598" width="20.28515625" style="396" customWidth="1"/>
    <col min="14599" max="14599" width="14" style="396" customWidth="1"/>
    <col min="14600" max="14848" width="11.42578125" style="396"/>
    <col min="14849" max="14849" width="30.5703125" style="396" bestFit="1" customWidth="1"/>
    <col min="14850" max="14850" width="9.28515625" style="396" bestFit="1" customWidth="1"/>
    <col min="14851" max="14852" width="8.42578125" style="396" bestFit="1" customWidth="1"/>
    <col min="14853" max="14853" width="17.42578125" style="396" customWidth="1"/>
    <col min="14854" max="14854" width="20.28515625" style="396" customWidth="1"/>
    <col min="14855" max="14855" width="14" style="396" customWidth="1"/>
    <col min="14856" max="15104" width="11.42578125" style="396"/>
    <col min="15105" max="15105" width="30.5703125" style="396" bestFit="1" customWidth="1"/>
    <col min="15106" max="15106" width="9.28515625" style="396" bestFit="1" customWidth="1"/>
    <col min="15107" max="15108" width="8.42578125" style="396" bestFit="1" customWidth="1"/>
    <col min="15109" max="15109" width="17.42578125" style="396" customWidth="1"/>
    <col min="15110" max="15110" width="20.28515625" style="396" customWidth="1"/>
    <col min="15111" max="15111" width="14" style="396" customWidth="1"/>
    <col min="15112" max="15360" width="11.42578125" style="396"/>
    <col min="15361" max="15361" width="30.5703125" style="396" bestFit="1" customWidth="1"/>
    <col min="15362" max="15362" width="9.28515625" style="396" bestFit="1" customWidth="1"/>
    <col min="15363" max="15364" width="8.42578125" style="396" bestFit="1" customWidth="1"/>
    <col min="15365" max="15365" width="17.42578125" style="396" customWidth="1"/>
    <col min="15366" max="15366" width="20.28515625" style="396" customWidth="1"/>
    <col min="15367" max="15367" width="14" style="396" customWidth="1"/>
    <col min="15368" max="15616" width="11.42578125" style="396"/>
    <col min="15617" max="15617" width="30.5703125" style="396" bestFit="1" customWidth="1"/>
    <col min="15618" max="15618" width="9.28515625" style="396" bestFit="1" customWidth="1"/>
    <col min="15619" max="15620" width="8.42578125" style="396" bestFit="1" customWidth="1"/>
    <col min="15621" max="15621" width="17.42578125" style="396" customWidth="1"/>
    <col min="15622" max="15622" width="20.28515625" style="396" customWidth="1"/>
    <col min="15623" max="15623" width="14" style="396" customWidth="1"/>
    <col min="15624" max="15872" width="11.42578125" style="396"/>
    <col min="15873" max="15873" width="30.5703125" style="396" bestFit="1" customWidth="1"/>
    <col min="15874" max="15874" width="9.28515625" style="396" bestFit="1" customWidth="1"/>
    <col min="15875" max="15876" width="8.42578125" style="396" bestFit="1" customWidth="1"/>
    <col min="15877" max="15877" width="17.42578125" style="396" customWidth="1"/>
    <col min="15878" max="15878" width="20.28515625" style="396" customWidth="1"/>
    <col min="15879" max="15879" width="14" style="396" customWidth="1"/>
    <col min="15880" max="16128" width="11.42578125" style="396"/>
    <col min="16129" max="16129" width="30.5703125" style="396" bestFit="1" customWidth="1"/>
    <col min="16130" max="16130" width="9.28515625" style="396" bestFit="1" customWidth="1"/>
    <col min="16131" max="16132" width="8.42578125" style="396" bestFit="1" customWidth="1"/>
    <col min="16133" max="16133" width="17.42578125" style="396" customWidth="1"/>
    <col min="16134" max="16134" width="20.28515625" style="396" customWidth="1"/>
    <col min="16135" max="16135" width="14" style="396" customWidth="1"/>
    <col min="16136" max="16384" width="11.42578125" style="396"/>
  </cols>
  <sheetData>
    <row r="4" spans="1:13" ht="13.5" thickBot="1" x14ac:dyDescent="0.25"/>
    <row r="5" spans="1:13" ht="40.5" customHeight="1" thickBot="1" x14ac:dyDescent="0.25">
      <c r="A5" s="397"/>
      <c r="B5" s="398">
        <v>2005</v>
      </c>
      <c r="C5" s="398">
        <v>2006</v>
      </c>
      <c r="D5" s="398">
        <v>2007</v>
      </c>
      <c r="E5" s="399">
        <v>2008</v>
      </c>
      <c r="F5" s="399">
        <v>2009</v>
      </c>
      <c r="G5" s="399">
        <v>2010</v>
      </c>
      <c r="H5" s="399">
        <v>2011</v>
      </c>
      <c r="I5" s="399">
        <v>2012</v>
      </c>
      <c r="J5" s="399">
        <v>2013</v>
      </c>
      <c r="K5" s="399" t="s">
        <v>837</v>
      </c>
      <c r="L5" s="399" t="s">
        <v>838</v>
      </c>
      <c r="M5" s="399" t="s">
        <v>839</v>
      </c>
    </row>
    <row r="6" spans="1:13" ht="40.5" customHeight="1" thickBot="1" x14ac:dyDescent="0.25">
      <c r="A6" s="400" t="s">
        <v>312</v>
      </c>
      <c r="B6" s="415">
        <f>DATOS!D222</f>
        <v>0.15722001761576263</v>
      </c>
      <c r="C6" s="415">
        <f>DATOS!H222</f>
        <v>0.1376519925900978</v>
      </c>
      <c r="D6" s="415">
        <f>DATOS!L222</f>
        <v>0.13514519958363846</v>
      </c>
      <c r="E6" s="415">
        <f>DATOS!P222</f>
        <v>0.12157734840817537</v>
      </c>
      <c r="F6" s="415">
        <f>DATOS!T222</f>
        <v>0.18429721489354361</v>
      </c>
      <c r="G6" s="415">
        <f>DATOS!X222</f>
        <v>0.17823810453585842</v>
      </c>
      <c r="H6" s="415">
        <f>DATOS!S222</f>
        <v>0</v>
      </c>
      <c r="I6" s="415">
        <f>DATOS!W222</f>
        <v>0</v>
      </c>
      <c r="J6" s="415">
        <f>DATOS!AA222</f>
        <v>0</v>
      </c>
      <c r="K6" s="764">
        <f>DATOS!AE222</f>
        <v>0</v>
      </c>
      <c r="L6" s="767">
        <f>DATOS!AI222</f>
        <v>0</v>
      </c>
      <c r="M6" s="421">
        <f>DATOS!AM222</f>
        <v>0</v>
      </c>
    </row>
    <row r="7" spans="1:13" ht="40.5" customHeight="1" thickBot="1" x14ac:dyDescent="0.25">
      <c r="A7" s="400" t="s">
        <v>302</v>
      </c>
      <c r="B7" s="416">
        <f>DATOS!D224</f>
        <v>0.84277998238423746</v>
      </c>
      <c r="C7" s="416">
        <f>DATOS!H224</f>
        <v>0.86234800740990214</v>
      </c>
      <c r="D7" s="416">
        <f>DATOS!L224</f>
        <v>0.86485480041636142</v>
      </c>
      <c r="E7" s="416">
        <f>DATOS!P224</f>
        <v>0.87842265159182464</v>
      </c>
      <c r="F7" s="416">
        <f>DATOS!T224</f>
        <v>0.81570278510645633</v>
      </c>
      <c r="G7" s="416">
        <f>DATOS!X224</f>
        <v>0.82176189546414169</v>
      </c>
      <c r="H7" s="416">
        <f>DATOS!S224</f>
        <v>0</v>
      </c>
      <c r="I7" s="416">
        <f>DATOS!W224</f>
        <v>0</v>
      </c>
      <c r="J7" s="416">
        <f>DATOS!AA224</f>
        <v>0</v>
      </c>
      <c r="K7" s="765">
        <f>DATOS!AE224</f>
        <v>0</v>
      </c>
      <c r="L7" s="768">
        <f>DATOS!AI224</f>
        <v>0</v>
      </c>
      <c r="M7" s="422">
        <f>DATOS!AM224</f>
        <v>0</v>
      </c>
    </row>
    <row r="8" spans="1:13" ht="40.5" customHeight="1" thickBot="1" x14ac:dyDescent="0.25">
      <c r="A8" s="402" t="s">
        <v>313</v>
      </c>
      <c r="B8" s="418">
        <f>DATOS!D228</f>
        <v>0.45229732635047309</v>
      </c>
      <c r="C8" s="419">
        <f>DATOS!H228</f>
        <v>0.43737464202662696</v>
      </c>
      <c r="D8" s="419">
        <f>DATOS!L228</f>
        <v>0.39227096168075165</v>
      </c>
      <c r="E8" s="419">
        <f>DATOS!P228</f>
        <v>0.42688201344617938</v>
      </c>
      <c r="F8" s="419">
        <f>DATOS!T228</f>
        <v>0.61528305585075005</v>
      </c>
      <c r="G8" s="419">
        <f>DATOS!X228</f>
        <v>0.57761705307091715</v>
      </c>
      <c r="H8" s="419">
        <f>DATOS!S228</f>
        <v>0</v>
      </c>
      <c r="I8" s="419">
        <f>DATOS!W228</f>
        <v>0</v>
      </c>
      <c r="J8" s="419">
        <f>DATOS!AA228</f>
        <v>0</v>
      </c>
      <c r="K8" s="766">
        <f>DATOS!AE228</f>
        <v>0</v>
      </c>
      <c r="L8" s="769">
        <f>DATOS!AI228</f>
        <v>0</v>
      </c>
      <c r="M8" s="423">
        <f>DATOS!AM228</f>
        <v>0</v>
      </c>
    </row>
    <row r="9" spans="1:13" ht="40.5" customHeight="1" thickBot="1" x14ac:dyDescent="0.25">
      <c r="A9" s="402" t="s">
        <v>314</v>
      </c>
      <c r="B9" s="418">
        <f>DATOS!D229</f>
        <v>0.21406548037488882</v>
      </c>
      <c r="C9" s="419">
        <f>DATOS!H229</f>
        <v>0.20677381185662755</v>
      </c>
      <c r="D9" s="419">
        <f>DATOS!L229</f>
        <v>0.12477189886097897</v>
      </c>
      <c r="E9" s="419">
        <f>DATOS!P229</f>
        <v>0.10672045929460063</v>
      </c>
      <c r="F9" s="419">
        <f>DATOS!T229</f>
        <v>6.0931652388128463E-2</v>
      </c>
      <c r="G9" s="419">
        <f>DATOS!X229</f>
        <v>6.0362852001906581E-2</v>
      </c>
      <c r="H9" s="419">
        <f>DATOS!S229</f>
        <v>0</v>
      </c>
      <c r="I9" s="419">
        <f>DATOS!W229</f>
        <v>0</v>
      </c>
      <c r="J9" s="419">
        <f>DATOS!AA229</f>
        <v>0</v>
      </c>
      <c r="K9" s="766">
        <f>DATOS!AE229</f>
        <v>0</v>
      </c>
      <c r="L9" s="769">
        <f>DATOS!AI229</f>
        <v>0</v>
      </c>
      <c r="M9" s="423">
        <f>DATOS!AM229</f>
        <v>0</v>
      </c>
    </row>
    <row r="10" spans="1:13" ht="40.5" customHeight="1" thickBot="1" x14ac:dyDescent="0.25">
      <c r="A10" s="402" t="s">
        <v>315</v>
      </c>
      <c r="B10" s="418">
        <f>DATOS!D230</f>
        <v>8.0031225133137665E-2</v>
      </c>
      <c r="C10" s="419">
        <f>DATOS!H230</f>
        <v>6.4621519362095967E-2</v>
      </c>
      <c r="D10" s="419">
        <f>DATOS!L230</f>
        <v>6.8962829581041094E-2</v>
      </c>
      <c r="E10" s="419">
        <f>DATOS!P230</f>
        <v>8.8548581058749187E-2</v>
      </c>
      <c r="F10" s="419">
        <f>DATOS!T230</f>
        <v>8.6820348557370447E-2</v>
      </c>
      <c r="G10" s="419">
        <f>DATOS!X230</f>
        <v>6.3942619191365305E-2</v>
      </c>
      <c r="H10" s="419">
        <f>DATOS!S230</f>
        <v>0</v>
      </c>
      <c r="I10" s="419">
        <f>DATOS!W230</f>
        <v>0</v>
      </c>
      <c r="J10" s="419">
        <f>DATOS!AA230</f>
        <v>0</v>
      </c>
      <c r="K10" s="766">
        <f>DATOS!AE230</f>
        <v>0</v>
      </c>
      <c r="L10" s="769">
        <f>DATOS!AI230</f>
        <v>0</v>
      </c>
      <c r="M10" s="423">
        <f>DATOS!AM230</f>
        <v>0</v>
      </c>
    </row>
    <row r="11" spans="1:13" ht="40.5" customHeight="1" thickBot="1" x14ac:dyDescent="0.25">
      <c r="A11" s="402" t="s">
        <v>316</v>
      </c>
      <c r="B11" s="418">
        <f>DATOS!D233</f>
        <v>5.8125807777301322E-2</v>
      </c>
      <c r="C11" s="419">
        <f>DATOS!H233</f>
        <v>5.439926738420886E-2</v>
      </c>
      <c r="D11" s="419">
        <f>DATOS!L233</f>
        <v>3.6604668604278176E-2</v>
      </c>
      <c r="E11" s="419">
        <f>DATOS!P233</f>
        <v>4.4748742950126194E-2</v>
      </c>
      <c r="F11" s="419">
        <f>DATOS!T233</f>
        <v>6.976571594638048E-2</v>
      </c>
      <c r="G11" s="419">
        <f>DATOS!X233</f>
        <v>7.378677170397073E-2</v>
      </c>
      <c r="H11" s="419">
        <f>DATOS!S233</f>
        <v>0</v>
      </c>
      <c r="I11" s="419">
        <f>DATOS!W233</f>
        <v>0</v>
      </c>
      <c r="J11" s="419">
        <f>DATOS!AA233</f>
        <v>0</v>
      </c>
      <c r="K11" s="766">
        <f>DATOS!AE233</f>
        <v>0</v>
      </c>
      <c r="L11" s="769">
        <f>DATOS!AI233</f>
        <v>0</v>
      </c>
      <c r="M11" s="423">
        <f>DATOS!AM233</f>
        <v>0</v>
      </c>
    </row>
    <row r="12" spans="1:13" ht="40.5" customHeight="1" thickBot="1" x14ac:dyDescent="0.25">
      <c r="A12" s="402" t="s">
        <v>60</v>
      </c>
      <c r="B12" s="418">
        <f>DATOS!D231</f>
        <v>0.1313505374303332</v>
      </c>
      <c r="C12" s="419">
        <f>DATOS!H231</f>
        <v>0.16741672475872951</v>
      </c>
      <c r="D12" s="419">
        <f>DATOS!L231</f>
        <v>0.13376243338794724</v>
      </c>
      <c r="E12" s="419">
        <f>DATOS!P231</f>
        <v>0.13509999441835494</v>
      </c>
      <c r="F12" s="419">
        <f>DATOS!T231</f>
        <v>0.17510740362369984</v>
      </c>
      <c r="G12" s="419">
        <f>DATOS!X231</f>
        <v>0.18362928970141928</v>
      </c>
      <c r="H12" s="419">
        <f>DATOS!S231</f>
        <v>0</v>
      </c>
      <c r="I12" s="419">
        <f>DATOS!W231</f>
        <v>0</v>
      </c>
      <c r="J12" s="419">
        <f>DATOS!AA231</f>
        <v>0</v>
      </c>
      <c r="K12" s="766">
        <f>DATOS!AE231</f>
        <v>0</v>
      </c>
      <c r="L12" s="769">
        <f>DATOS!AI231</f>
        <v>0</v>
      </c>
      <c r="M12" s="423">
        <f>DATOS!AM231</f>
        <v>0</v>
      </c>
    </row>
    <row r="13" spans="1:13" ht="40.5" customHeight="1" thickBot="1" x14ac:dyDescent="0.25">
      <c r="A13" s="402" t="s">
        <v>317</v>
      </c>
      <c r="B13" s="418">
        <f>DATOS!D232</f>
        <v>2.3174194919821397E-3</v>
      </c>
      <c r="C13" s="419">
        <f>DATOS!H232</f>
        <v>4.8286005186490687E-3</v>
      </c>
      <c r="D13" s="419">
        <f>DATOS!L232</f>
        <v>2.8162647979474847E-3</v>
      </c>
      <c r="E13" s="419">
        <f>DATOS!P232</f>
        <v>5.5345110575873721E-3</v>
      </c>
      <c r="F13" s="419">
        <f>DATOS!T232</f>
        <v>9.8265295917699755E-3</v>
      </c>
      <c r="G13" s="419">
        <f>DATOS!X232</f>
        <v>9.2283595256929061E-3</v>
      </c>
      <c r="H13" s="419">
        <f>DATOS!S232</f>
        <v>0</v>
      </c>
      <c r="I13" s="419">
        <f>DATOS!W232</f>
        <v>0</v>
      </c>
      <c r="J13" s="419">
        <f>DATOS!AA232</f>
        <v>0</v>
      </c>
      <c r="K13" s="766">
        <f>DATOS!AE232</f>
        <v>0</v>
      </c>
      <c r="L13" s="769">
        <f>DATOS!AI232</f>
        <v>0</v>
      </c>
      <c r="M13" s="423">
        <f>DATOS!AM232</f>
        <v>0</v>
      </c>
    </row>
    <row r="14" spans="1:13" ht="40.5" customHeight="1" thickBot="1" x14ac:dyDescent="0.25">
      <c r="A14" s="402" t="s">
        <v>318</v>
      </c>
      <c r="B14" s="418">
        <v>0</v>
      </c>
      <c r="C14" s="419">
        <v>0</v>
      </c>
      <c r="D14" s="419">
        <v>0</v>
      </c>
      <c r="E14" s="419">
        <v>0</v>
      </c>
      <c r="F14" s="419">
        <v>0</v>
      </c>
      <c r="G14" s="1033">
        <v>0</v>
      </c>
      <c r="H14" s="419">
        <v>0</v>
      </c>
      <c r="I14" s="419">
        <v>0</v>
      </c>
      <c r="J14" s="1033">
        <v>0</v>
      </c>
      <c r="K14" s="766">
        <v>0</v>
      </c>
      <c r="L14" s="769">
        <v>0</v>
      </c>
      <c r="M14" s="423">
        <v>0</v>
      </c>
    </row>
    <row r="15" spans="1:13" ht="40.5" customHeight="1" thickBot="1" x14ac:dyDescent="0.25">
      <c r="A15" s="400" t="s">
        <v>319</v>
      </c>
      <c r="B15" s="420">
        <f>DATOS!B235</f>
        <v>6.1812203441883637E-2</v>
      </c>
      <c r="C15" s="420">
        <f>DATOS!F235</f>
        <v>6.4585434093062E-2</v>
      </c>
      <c r="D15" s="420">
        <f>DATOS!J235</f>
        <v>0.24081094308705536</v>
      </c>
      <c r="E15" s="420">
        <f>DATOS!N235</f>
        <v>0.19246569777440228</v>
      </c>
      <c r="F15" s="420">
        <f>DATOS!R235</f>
        <v>-1.773470595809928E-2</v>
      </c>
      <c r="G15" s="420">
        <f>DATOS!V235</f>
        <v>3.143305480472814E-2</v>
      </c>
      <c r="H15" s="420">
        <f>DATOS!Q235</f>
        <v>0</v>
      </c>
      <c r="I15" s="420">
        <f>DATOS!U235</f>
        <v>0</v>
      </c>
      <c r="J15" s="420">
        <f>DATOS!Y235</f>
        <v>0</v>
      </c>
      <c r="K15" s="645">
        <f>DATOS!AC235</f>
        <v>0</v>
      </c>
      <c r="L15" s="645">
        <f>DATOS!AG235</f>
        <v>0</v>
      </c>
      <c r="M15" s="645">
        <f>DATOS!AK235</f>
        <v>0</v>
      </c>
    </row>
    <row r="16" spans="1:13" ht="13.5" thickBot="1" x14ac:dyDescent="0.25"/>
    <row r="17" spans="1:13" ht="21.95" customHeight="1" thickBot="1" x14ac:dyDescent="0.25">
      <c r="A17" s="414" t="s">
        <v>840</v>
      </c>
      <c r="B17" s="398" t="s">
        <v>0</v>
      </c>
      <c r="C17" s="398" t="s">
        <v>1</v>
      </c>
      <c r="D17" s="398" t="s">
        <v>2</v>
      </c>
      <c r="E17" s="398" t="s">
        <v>3</v>
      </c>
      <c r="F17" s="398" t="s">
        <v>4</v>
      </c>
      <c r="G17" s="398" t="s">
        <v>5</v>
      </c>
      <c r="H17" s="398" t="s">
        <v>6</v>
      </c>
      <c r="I17" s="398" t="s">
        <v>7</v>
      </c>
      <c r="J17" s="398" t="s">
        <v>8</v>
      </c>
      <c r="K17" s="398" t="s">
        <v>9</v>
      </c>
      <c r="L17" s="398" t="s">
        <v>10</v>
      </c>
      <c r="M17" s="398" t="s">
        <v>11</v>
      </c>
    </row>
    <row r="18" spans="1:13" ht="21.95" customHeight="1" thickBot="1" x14ac:dyDescent="0.25">
      <c r="A18" s="400" t="s">
        <v>312</v>
      </c>
      <c r="B18" s="415">
        <f>DATOS!D242</f>
        <v>0.24768583004386097</v>
      </c>
      <c r="C18" s="415">
        <f>DATOS!H242</f>
        <v>0.31430331098853947</v>
      </c>
      <c r="D18" s="415">
        <f>DATOS!L242</f>
        <v>0.20022506774198143</v>
      </c>
      <c r="E18" s="415">
        <f>DATOS!P242</f>
        <v>0.31462608056353375</v>
      </c>
      <c r="F18" s="415">
        <f>DATOS!T242</f>
        <v>0.29492037676310806</v>
      </c>
      <c r="G18" s="415">
        <f>DATOS!X242</f>
        <v>0.24513610820485587</v>
      </c>
      <c r="H18" s="415">
        <f>DATOS!AB242</f>
        <v>0.30909284928445413</v>
      </c>
      <c r="I18" s="415">
        <f>DATOS!AF242</f>
        <v>0.51782190234185299</v>
      </c>
      <c r="J18" s="415">
        <f>DATOS!AJ242</f>
        <v>0.23693068555605368</v>
      </c>
      <c r="K18" s="415">
        <f>DATOS!AN242</f>
        <v>0.2063492376672767</v>
      </c>
      <c r="L18" s="415">
        <f>DATOS!AR242</f>
        <v>0.22767801234291346</v>
      </c>
      <c r="M18" s="415">
        <f>DATOS!AV242</f>
        <v>0.66325296592736704</v>
      </c>
    </row>
    <row r="19" spans="1:13" ht="21.95" customHeight="1" thickBot="1" x14ac:dyDescent="0.25">
      <c r="A19" s="400" t="s">
        <v>302</v>
      </c>
      <c r="B19" s="416">
        <f>DATOS!D244</f>
        <v>0.75231416995613898</v>
      </c>
      <c r="C19" s="416">
        <f>DATOS!H244</f>
        <v>0.68569668901146053</v>
      </c>
      <c r="D19" s="416">
        <f>DATOS!L244</f>
        <v>0.79977493225801854</v>
      </c>
      <c r="E19" s="416">
        <f>DATOS!P244</f>
        <v>0.68537391943646619</v>
      </c>
      <c r="F19" s="416">
        <f>DATOS!T244</f>
        <v>0.70507962323689199</v>
      </c>
      <c r="G19" s="416">
        <f>DATOS!X244</f>
        <v>0.75486389179514413</v>
      </c>
      <c r="H19" s="416">
        <f>DATOS!AB244</f>
        <v>0.69090715071554587</v>
      </c>
      <c r="I19" s="416">
        <f>DATOS!AF244</f>
        <v>0.48217809765814695</v>
      </c>
      <c r="J19" s="416">
        <f>DATOS!AJ244</f>
        <v>0.76306931444394632</v>
      </c>
      <c r="K19" s="416">
        <f>DATOS!AN244</f>
        <v>0.79365076233272336</v>
      </c>
      <c r="L19" s="416">
        <f>DATOS!AR244</f>
        <v>0.77232198765708659</v>
      </c>
      <c r="M19" s="416">
        <f>DATOS!AV244</f>
        <v>0.33674703407263296</v>
      </c>
    </row>
    <row r="20" spans="1:13" ht="21.95" customHeight="1" thickBot="1" x14ac:dyDescent="0.25">
      <c r="A20" s="402" t="s">
        <v>313</v>
      </c>
      <c r="B20" s="417">
        <f>DATOS!D247</f>
        <v>0.35757920380055386</v>
      </c>
      <c r="C20" s="417">
        <f>DATOS!H247</f>
        <v>0.50587448356895981</v>
      </c>
      <c r="D20" s="417">
        <f>DATOS!L247</f>
        <v>0.34449623609227165</v>
      </c>
      <c r="E20" s="417">
        <f>DATOS!P247</f>
        <v>0.45071720785281499</v>
      </c>
      <c r="F20" s="417">
        <f>DATOS!T247</f>
        <v>0.36761289753793241</v>
      </c>
      <c r="G20" s="417">
        <f>DATOS!X247</f>
        <v>0.27600701742119926</v>
      </c>
      <c r="H20" s="417">
        <f>DATOS!AB247</f>
        <v>0.28107280988156841</v>
      </c>
      <c r="I20" s="417">
        <f>DATOS!AF247</f>
        <v>2.0484535254098999</v>
      </c>
      <c r="J20" s="417">
        <f>DATOS!AJ247</f>
        <v>0.29299465636053457</v>
      </c>
      <c r="K20" s="417">
        <f>DATOS!AN247</f>
        <v>0.27767492985716574</v>
      </c>
      <c r="L20" s="417">
        <f>DATOS!AR247</f>
        <v>0.32255712930134711</v>
      </c>
      <c r="M20" s="417">
        <f>DATOS!AV247</f>
        <v>1.7202853481377871</v>
      </c>
    </row>
    <row r="21" spans="1:13" ht="21.95" customHeight="1" thickBot="1" x14ac:dyDescent="0.25">
      <c r="A21" s="402" t="s">
        <v>314</v>
      </c>
      <c r="B21" s="417">
        <f>DATOS!D248</f>
        <v>5.0768516153084149E-2</v>
      </c>
      <c r="C21" s="417">
        <f>DATOS!H248</f>
        <v>6.2939046022854064E-2</v>
      </c>
      <c r="D21" s="417">
        <f>DATOS!L248</f>
        <v>4.6455997493829879E-2</v>
      </c>
      <c r="E21" s="417">
        <f>DATOS!P248</f>
        <v>6.3620163049123504E-2</v>
      </c>
      <c r="F21" s="417">
        <f>DATOS!T248</f>
        <v>5.3125720445667123E-2</v>
      </c>
      <c r="G21" s="417">
        <f>DATOS!X248</f>
        <v>4.1659074730080181E-2</v>
      </c>
      <c r="H21" s="417">
        <f>DATOS!AB248</f>
        <v>4.1483156505459029E-2</v>
      </c>
      <c r="I21" s="417">
        <f>DATOS!AF248</f>
        <v>0.16205018110194042</v>
      </c>
      <c r="J21" s="417">
        <f>DATOS!AJ248</f>
        <v>4.3292396744497197E-2</v>
      </c>
      <c r="K21" s="417">
        <f>DATOS!AN248</f>
        <v>4.3450806467651801E-2</v>
      </c>
      <c r="L21" s="417">
        <f>DATOS!AR248</f>
        <v>4.9067969971907155E-2</v>
      </c>
      <c r="M21" s="417">
        <f>DATOS!AV248</f>
        <v>0.12374788478769995</v>
      </c>
    </row>
    <row r="22" spans="1:13" ht="21.95" customHeight="1" thickBot="1" x14ac:dyDescent="0.25">
      <c r="A22" s="402" t="s">
        <v>315</v>
      </c>
      <c r="B22" s="417">
        <f>DATOS!D249</f>
        <v>4.5645130874812236E-2</v>
      </c>
      <c r="C22" s="417">
        <f>DATOS!H249</f>
        <v>6.202859019714322E-2</v>
      </c>
      <c r="D22" s="417">
        <f>DATOS!L249</f>
        <v>2.4493290481906457E-2</v>
      </c>
      <c r="E22" s="417">
        <f>DATOS!P249</f>
        <v>0.19398287038233739</v>
      </c>
      <c r="F22" s="417">
        <f>DATOS!T249</f>
        <v>4.8437982670120859E-2</v>
      </c>
      <c r="G22" s="417">
        <f>DATOS!X249</f>
        <v>2.9664344593411194E-2</v>
      </c>
      <c r="H22" s="417">
        <f>DATOS!AB249</f>
        <v>4.1216231302709266E-2</v>
      </c>
      <c r="I22" s="417">
        <f>DATOS!AF249</f>
        <v>0.52403704176813737</v>
      </c>
      <c r="J22" s="417">
        <f>DATOS!AJ249</f>
        <v>2.9132963121842097E-2</v>
      </c>
      <c r="K22" s="417">
        <f>DATOS!AN249</f>
        <v>1.3073287384160279E-2</v>
      </c>
      <c r="L22" s="417">
        <f>DATOS!AR249</f>
        <v>0.11801554558334618</v>
      </c>
      <c r="M22" s="417">
        <f>DATOS!AV249</f>
        <v>0.207918190550439</v>
      </c>
    </row>
    <row r="23" spans="1:13" ht="21.95" customHeight="1" thickBot="1" x14ac:dyDescent="0.25">
      <c r="A23" s="402" t="s">
        <v>316</v>
      </c>
      <c r="B23" s="417">
        <f>DATOS!D252</f>
        <v>8.1851754385427036E-2</v>
      </c>
      <c r="C23" s="417">
        <f>DATOS!H252</f>
        <v>0.11553449240173003</v>
      </c>
      <c r="D23" s="417">
        <f>DATOS!L252</f>
        <v>8.6726963631017076E-2</v>
      </c>
      <c r="E23" s="417">
        <f>DATOS!P252</f>
        <v>0.10895706219397938</v>
      </c>
      <c r="F23" s="417">
        <f>DATOS!T252</f>
        <v>0.14445243167783081</v>
      </c>
      <c r="G23" s="417">
        <f>DATOS!X252</f>
        <v>6.7833026477849917E-2</v>
      </c>
      <c r="H23" s="417">
        <f>DATOS!AB252</f>
        <v>0.153005983027548</v>
      </c>
      <c r="I23" s="417">
        <f>DATOS!AF252</f>
        <v>-1.8842400105488275</v>
      </c>
      <c r="J23" s="417">
        <f>DATOS!AJ252</f>
        <v>8.9785903976684969E-2</v>
      </c>
      <c r="K23" s="417">
        <f>DATOS!AN252</f>
        <v>0.1066381012782238</v>
      </c>
      <c r="L23" s="417">
        <f>DATOS!AR252</f>
        <v>0.29465497618169739</v>
      </c>
      <c r="M23" s="417">
        <f>DATOS!AV252</f>
        <v>-0.66345146530160237</v>
      </c>
    </row>
    <row r="24" spans="1:13" ht="21.95" customHeight="1" thickBot="1" x14ac:dyDescent="0.25">
      <c r="A24" s="402" t="s">
        <v>60</v>
      </c>
      <c r="B24" s="417">
        <f>DATOS!D250</f>
        <v>0.11228526049570167</v>
      </c>
      <c r="C24" s="417">
        <f>DATOS!H250</f>
        <v>0.19638599260357159</v>
      </c>
      <c r="D24" s="417">
        <f>DATOS!L250</f>
        <v>0.12320620683327575</v>
      </c>
      <c r="E24" s="417">
        <f>DATOS!P250</f>
        <v>0.17576132979162004</v>
      </c>
      <c r="F24" s="417">
        <f>DATOS!T250</f>
        <v>0.13123547148698164</v>
      </c>
      <c r="G24" s="417">
        <f>DATOS!X250</f>
        <v>0.1144142803267852</v>
      </c>
      <c r="H24" s="417">
        <f>DATOS!AB250</f>
        <v>0.14085835901786997</v>
      </c>
      <c r="I24" s="417">
        <f>DATOS!AF250</f>
        <v>0.63246023929905237</v>
      </c>
      <c r="J24" s="417">
        <f>DATOS!AJ250</f>
        <v>0.11160530642994464</v>
      </c>
      <c r="K24" s="417">
        <f>DATOS!AN250</f>
        <v>0.12587342468659468</v>
      </c>
      <c r="L24" s="417">
        <f>DATOS!AR250</f>
        <v>0.12378914703920835</v>
      </c>
      <c r="M24" s="417">
        <f>DATOS!AV250</f>
        <v>0.64983124191840091</v>
      </c>
    </row>
    <row r="25" spans="1:13" ht="21.95" customHeight="1" thickBot="1" x14ac:dyDescent="0.25">
      <c r="A25" s="402" t="s">
        <v>317</v>
      </c>
      <c r="B25" s="417">
        <f>DATOS!D251</f>
        <v>6.456629349619595E-4</v>
      </c>
      <c r="C25" s="417">
        <f>DATOS!H251</f>
        <v>5.9840798668957381E-4</v>
      </c>
      <c r="D25" s="417">
        <f>DATOS!L251</f>
        <v>5.9957778917734317E-4</v>
      </c>
      <c r="E25" s="417">
        <f>DATOS!P251</f>
        <v>1.5884375387688907E-3</v>
      </c>
      <c r="F25" s="417">
        <f>DATOS!T251</f>
        <v>1.1006017800076725E-3</v>
      </c>
      <c r="G25" s="417">
        <f>DATOS!X251</f>
        <v>2.3945497663802214E-4</v>
      </c>
      <c r="H25" s="417">
        <f>DATOS!AB251</f>
        <v>5.2030416023564315E-3</v>
      </c>
      <c r="I25" s="417">
        <f>DATOS!AF251</f>
        <v>1.3590886802015815E-2</v>
      </c>
      <c r="J25" s="417">
        <f>DATOS!AJ251</f>
        <v>1.6375491769320054E-4</v>
      </c>
      <c r="K25" s="417">
        <f>DATOS!AN251</f>
        <v>1.7760832270786332E-3</v>
      </c>
      <c r="L25" s="417">
        <f>DATOS!AR251</f>
        <v>4.1061019232444879E-4</v>
      </c>
      <c r="M25" s="417">
        <f>DATOS!AV251</f>
        <v>2.6412324597667149E-2</v>
      </c>
    </row>
    <row r="26" spans="1:13" ht="21.95" customHeight="1" thickBot="1" x14ac:dyDescent="0.25">
      <c r="A26" s="402" t="s">
        <v>318</v>
      </c>
      <c r="B26" s="417">
        <v>0</v>
      </c>
      <c r="C26" s="417">
        <v>0</v>
      </c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0</v>
      </c>
    </row>
    <row r="27" spans="1:13" ht="21.95" customHeight="1" thickBot="1" x14ac:dyDescent="0.25">
      <c r="A27" s="400" t="s">
        <v>319</v>
      </c>
      <c r="B27" s="416">
        <f>DATOS!B254</f>
        <v>0.35122447135545898</v>
      </c>
      <c r="C27" s="416">
        <f>DATOS!F254</f>
        <v>5.6638987219051737E-2</v>
      </c>
      <c r="D27" s="416">
        <f>DATOS!J254</f>
        <v>0.37402172767852182</v>
      </c>
      <c r="E27" s="416">
        <f>DATOS!N254</f>
        <v>5.3729291913557631E-3</v>
      </c>
      <c r="F27" s="416">
        <f>DATOS!R254</f>
        <v>0.25403489440145943</v>
      </c>
      <c r="G27" s="416">
        <f>DATOS!V254</f>
        <v>0.47018280147403624</v>
      </c>
      <c r="H27" s="416">
        <f>DATOS!Z254</f>
        <v>0.33716041866248886</v>
      </c>
      <c r="I27" s="416">
        <f>DATOS!AD254</f>
        <v>0.4963518638322183</v>
      </c>
      <c r="J27" s="416">
        <f>DATOS!AH254</f>
        <v>0.43302501844880337</v>
      </c>
      <c r="K27" s="416">
        <f>DATOS!AL254</f>
        <v>0.43151336709912519</v>
      </c>
      <c r="L27" s="416">
        <f>DATOS!AP254</f>
        <v>9.1504621730169475E-2</v>
      </c>
      <c r="M27" s="416">
        <f>DATOS!AT254</f>
        <v>-1.0647435246903918</v>
      </c>
    </row>
  </sheetData>
  <pageMargins left="0.47244094488188981" right="0.15748031496062992" top="0.35433070866141736" bottom="0.15748031496062992" header="0" footer="0"/>
  <pageSetup paperSize="9" scale="74" orientation="landscape" horizontalDpi="300" verticalDpi="300" r:id="rId1"/>
  <headerFooter alignWithMargins="0"/>
  <ignoredErrors>
    <ignoredError sqref="F18:F25 B18:E27 F27 G18:G27 H18:H27 I18:I27 J18:J27 K18:K27 L18:L27" evalErro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M27"/>
  <sheetViews>
    <sheetView topLeftCell="A16" workbookViewId="0">
      <selection activeCell="C35" sqref="C35"/>
    </sheetView>
  </sheetViews>
  <sheetFormatPr baseColWidth="10" defaultRowHeight="12.75" x14ac:dyDescent="0.2"/>
  <cols>
    <col min="1" max="1" width="30.5703125" style="396" bestFit="1" customWidth="1"/>
    <col min="2" max="2" width="15.28515625" style="396" customWidth="1"/>
    <col min="3" max="3" width="16.5703125" style="396" bestFit="1" customWidth="1"/>
    <col min="4" max="4" width="15.140625" style="396" customWidth="1"/>
    <col min="5" max="5" width="13.85546875" style="396" customWidth="1"/>
    <col min="6" max="6" width="13.7109375" style="396" customWidth="1"/>
    <col min="7" max="7" width="15.140625" style="396" customWidth="1"/>
    <col min="8" max="9" width="13.5703125" style="396" customWidth="1"/>
    <col min="10" max="10" width="12.5703125" style="396" customWidth="1"/>
    <col min="11" max="11" width="11.85546875" style="396" customWidth="1"/>
    <col min="12" max="256" width="11.42578125" style="396"/>
    <col min="257" max="257" width="30.5703125" style="396" bestFit="1" customWidth="1"/>
    <col min="258" max="258" width="9.28515625" style="396" bestFit="1" customWidth="1"/>
    <col min="259" max="260" width="8.42578125" style="396" bestFit="1" customWidth="1"/>
    <col min="261" max="261" width="17.42578125" style="396" customWidth="1"/>
    <col min="262" max="262" width="20.28515625" style="396" customWidth="1"/>
    <col min="263" max="263" width="14" style="396" customWidth="1"/>
    <col min="264" max="512" width="11.42578125" style="396"/>
    <col min="513" max="513" width="30.5703125" style="396" bestFit="1" customWidth="1"/>
    <col min="514" max="514" width="9.28515625" style="396" bestFit="1" customWidth="1"/>
    <col min="515" max="516" width="8.42578125" style="396" bestFit="1" customWidth="1"/>
    <col min="517" max="517" width="17.42578125" style="396" customWidth="1"/>
    <col min="518" max="518" width="20.28515625" style="396" customWidth="1"/>
    <col min="519" max="519" width="14" style="396" customWidth="1"/>
    <col min="520" max="768" width="11.42578125" style="396"/>
    <col min="769" max="769" width="30.5703125" style="396" bestFit="1" customWidth="1"/>
    <col min="770" max="770" width="9.28515625" style="396" bestFit="1" customWidth="1"/>
    <col min="771" max="772" width="8.42578125" style="396" bestFit="1" customWidth="1"/>
    <col min="773" max="773" width="17.42578125" style="396" customWidth="1"/>
    <col min="774" max="774" width="20.28515625" style="396" customWidth="1"/>
    <col min="775" max="775" width="14" style="396" customWidth="1"/>
    <col min="776" max="1024" width="11.42578125" style="396"/>
    <col min="1025" max="1025" width="30.5703125" style="396" bestFit="1" customWidth="1"/>
    <col min="1026" max="1026" width="9.28515625" style="396" bestFit="1" customWidth="1"/>
    <col min="1027" max="1028" width="8.42578125" style="396" bestFit="1" customWidth="1"/>
    <col min="1029" max="1029" width="17.42578125" style="396" customWidth="1"/>
    <col min="1030" max="1030" width="20.28515625" style="396" customWidth="1"/>
    <col min="1031" max="1031" width="14" style="396" customWidth="1"/>
    <col min="1032" max="1280" width="11.42578125" style="396"/>
    <col min="1281" max="1281" width="30.5703125" style="396" bestFit="1" customWidth="1"/>
    <col min="1282" max="1282" width="9.28515625" style="396" bestFit="1" customWidth="1"/>
    <col min="1283" max="1284" width="8.42578125" style="396" bestFit="1" customWidth="1"/>
    <col min="1285" max="1285" width="17.42578125" style="396" customWidth="1"/>
    <col min="1286" max="1286" width="20.28515625" style="396" customWidth="1"/>
    <col min="1287" max="1287" width="14" style="396" customWidth="1"/>
    <col min="1288" max="1536" width="11.42578125" style="396"/>
    <col min="1537" max="1537" width="30.5703125" style="396" bestFit="1" customWidth="1"/>
    <col min="1538" max="1538" width="9.28515625" style="396" bestFit="1" customWidth="1"/>
    <col min="1539" max="1540" width="8.42578125" style="396" bestFit="1" customWidth="1"/>
    <col min="1541" max="1541" width="17.42578125" style="396" customWidth="1"/>
    <col min="1542" max="1542" width="20.28515625" style="396" customWidth="1"/>
    <col min="1543" max="1543" width="14" style="396" customWidth="1"/>
    <col min="1544" max="1792" width="11.42578125" style="396"/>
    <col min="1793" max="1793" width="30.5703125" style="396" bestFit="1" customWidth="1"/>
    <col min="1794" max="1794" width="9.28515625" style="396" bestFit="1" customWidth="1"/>
    <col min="1795" max="1796" width="8.42578125" style="396" bestFit="1" customWidth="1"/>
    <col min="1797" max="1797" width="17.42578125" style="396" customWidth="1"/>
    <col min="1798" max="1798" width="20.28515625" style="396" customWidth="1"/>
    <col min="1799" max="1799" width="14" style="396" customWidth="1"/>
    <col min="1800" max="2048" width="11.42578125" style="396"/>
    <col min="2049" max="2049" width="30.5703125" style="396" bestFit="1" customWidth="1"/>
    <col min="2050" max="2050" width="9.28515625" style="396" bestFit="1" customWidth="1"/>
    <col min="2051" max="2052" width="8.42578125" style="396" bestFit="1" customWidth="1"/>
    <col min="2053" max="2053" width="17.42578125" style="396" customWidth="1"/>
    <col min="2054" max="2054" width="20.28515625" style="396" customWidth="1"/>
    <col min="2055" max="2055" width="14" style="396" customWidth="1"/>
    <col min="2056" max="2304" width="11.42578125" style="396"/>
    <col min="2305" max="2305" width="30.5703125" style="396" bestFit="1" customWidth="1"/>
    <col min="2306" max="2306" width="9.28515625" style="396" bestFit="1" customWidth="1"/>
    <col min="2307" max="2308" width="8.42578125" style="396" bestFit="1" customWidth="1"/>
    <col min="2309" max="2309" width="17.42578125" style="396" customWidth="1"/>
    <col min="2310" max="2310" width="20.28515625" style="396" customWidth="1"/>
    <col min="2311" max="2311" width="14" style="396" customWidth="1"/>
    <col min="2312" max="2560" width="11.42578125" style="396"/>
    <col min="2561" max="2561" width="30.5703125" style="396" bestFit="1" customWidth="1"/>
    <col min="2562" max="2562" width="9.28515625" style="396" bestFit="1" customWidth="1"/>
    <col min="2563" max="2564" width="8.42578125" style="396" bestFit="1" customWidth="1"/>
    <col min="2565" max="2565" width="17.42578125" style="396" customWidth="1"/>
    <col min="2566" max="2566" width="20.28515625" style="396" customWidth="1"/>
    <col min="2567" max="2567" width="14" style="396" customWidth="1"/>
    <col min="2568" max="2816" width="11.42578125" style="396"/>
    <col min="2817" max="2817" width="30.5703125" style="396" bestFit="1" customWidth="1"/>
    <col min="2818" max="2818" width="9.28515625" style="396" bestFit="1" customWidth="1"/>
    <col min="2819" max="2820" width="8.42578125" style="396" bestFit="1" customWidth="1"/>
    <col min="2821" max="2821" width="17.42578125" style="396" customWidth="1"/>
    <col min="2822" max="2822" width="20.28515625" style="396" customWidth="1"/>
    <col min="2823" max="2823" width="14" style="396" customWidth="1"/>
    <col min="2824" max="3072" width="11.42578125" style="396"/>
    <col min="3073" max="3073" width="30.5703125" style="396" bestFit="1" customWidth="1"/>
    <col min="3074" max="3074" width="9.28515625" style="396" bestFit="1" customWidth="1"/>
    <col min="3075" max="3076" width="8.42578125" style="396" bestFit="1" customWidth="1"/>
    <col min="3077" max="3077" width="17.42578125" style="396" customWidth="1"/>
    <col min="3078" max="3078" width="20.28515625" style="396" customWidth="1"/>
    <col min="3079" max="3079" width="14" style="396" customWidth="1"/>
    <col min="3080" max="3328" width="11.42578125" style="396"/>
    <col min="3329" max="3329" width="30.5703125" style="396" bestFit="1" customWidth="1"/>
    <col min="3330" max="3330" width="9.28515625" style="396" bestFit="1" customWidth="1"/>
    <col min="3331" max="3332" width="8.42578125" style="396" bestFit="1" customWidth="1"/>
    <col min="3333" max="3333" width="17.42578125" style="396" customWidth="1"/>
    <col min="3334" max="3334" width="20.28515625" style="396" customWidth="1"/>
    <col min="3335" max="3335" width="14" style="396" customWidth="1"/>
    <col min="3336" max="3584" width="11.42578125" style="396"/>
    <col min="3585" max="3585" width="30.5703125" style="396" bestFit="1" customWidth="1"/>
    <col min="3586" max="3586" width="9.28515625" style="396" bestFit="1" customWidth="1"/>
    <col min="3587" max="3588" width="8.42578125" style="396" bestFit="1" customWidth="1"/>
    <col min="3589" max="3589" width="17.42578125" style="396" customWidth="1"/>
    <col min="3590" max="3590" width="20.28515625" style="396" customWidth="1"/>
    <col min="3591" max="3591" width="14" style="396" customWidth="1"/>
    <col min="3592" max="3840" width="11.42578125" style="396"/>
    <col min="3841" max="3841" width="30.5703125" style="396" bestFit="1" customWidth="1"/>
    <col min="3842" max="3842" width="9.28515625" style="396" bestFit="1" customWidth="1"/>
    <col min="3843" max="3844" width="8.42578125" style="396" bestFit="1" customWidth="1"/>
    <col min="3845" max="3845" width="17.42578125" style="396" customWidth="1"/>
    <col min="3846" max="3846" width="20.28515625" style="396" customWidth="1"/>
    <col min="3847" max="3847" width="14" style="396" customWidth="1"/>
    <col min="3848" max="4096" width="11.42578125" style="396"/>
    <col min="4097" max="4097" width="30.5703125" style="396" bestFit="1" customWidth="1"/>
    <col min="4098" max="4098" width="9.28515625" style="396" bestFit="1" customWidth="1"/>
    <col min="4099" max="4100" width="8.42578125" style="396" bestFit="1" customWidth="1"/>
    <col min="4101" max="4101" width="17.42578125" style="396" customWidth="1"/>
    <col min="4102" max="4102" width="20.28515625" style="396" customWidth="1"/>
    <col min="4103" max="4103" width="14" style="396" customWidth="1"/>
    <col min="4104" max="4352" width="11.42578125" style="396"/>
    <col min="4353" max="4353" width="30.5703125" style="396" bestFit="1" customWidth="1"/>
    <col min="4354" max="4354" width="9.28515625" style="396" bestFit="1" customWidth="1"/>
    <col min="4355" max="4356" width="8.42578125" style="396" bestFit="1" customWidth="1"/>
    <col min="4357" max="4357" width="17.42578125" style="396" customWidth="1"/>
    <col min="4358" max="4358" width="20.28515625" style="396" customWidth="1"/>
    <col min="4359" max="4359" width="14" style="396" customWidth="1"/>
    <col min="4360" max="4608" width="11.42578125" style="396"/>
    <col min="4609" max="4609" width="30.5703125" style="396" bestFit="1" customWidth="1"/>
    <col min="4610" max="4610" width="9.28515625" style="396" bestFit="1" customWidth="1"/>
    <col min="4611" max="4612" width="8.42578125" style="396" bestFit="1" customWidth="1"/>
    <col min="4613" max="4613" width="17.42578125" style="396" customWidth="1"/>
    <col min="4614" max="4614" width="20.28515625" style="396" customWidth="1"/>
    <col min="4615" max="4615" width="14" style="396" customWidth="1"/>
    <col min="4616" max="4864" width="11.42578125" style="396"/>
    <col min="4865" max="4865" width="30.5703125" style="396" bestFit="1" customWidth="1"/>
    <col min="4866" max="4866" width="9.28515625" style="396" bestFit="1" customWidth="1"/>
    <col min="4867" max="4868" width="8.42578125" style="396" bestFit="1" customWidth="1"/>
    <col min="4869" max="4869" width="17.42578125" style="396" customWidth="1"/>
    <col min="4870" max="4870" width="20.28515625" style="396" customWidth="1"/>
    <col min="4871" max="4871" width="14" style="396" customWidth="1"/>
    <col min="4872" max="5120" width="11.42578125" style="396"/>
    <col min="5121" max="5121" width="30.5703125" style="396" bestFit="1" customWidth="1"/>
    <col min="5122" max="5122" width="9.28515625" style="396" bestFit="1" customWidth="1"/>
    <col min="5123" max="5124" width="8.42578125" style="396" bestFit="1" customWidth="1"/>
    <col min="5125" max="5125" width="17.42578125" style="396" customWidth="1"/>
    <col min="5126" max="5126" width="20.28515625" style="396" customWidth="1"/>
    <col min="5127" max="5127" width="14" style="396" customWidth="1"/>
    <col min="5128" max="5376" width="11.42578125" style="396"/>
    <col min="5377" max="5377" width="30.5703125" style="396" bestFit="1" customWidth="1"/>
    <col min="5378" max="5378" width="9.28515625" style="396" bestFit="1" customWidth="1"/>
    <col min="5379" max="5380" width="8.42578125" style="396" bestFit="1" customWidth="1"/>
    <col min="5381" max="5381" width="17.42578125" style="396" customWidth="1"/>
    <col min="5382" max="5382" width="20.28515625" style="396" customWidth="1"/>
    <col min="5383" max="5383" width="14" style="396" customWidth="1"/>
    <col min="5384" max="5632" width="11.42578125" style="396"/>
    <col min="5633" max="5633" width="30.5703125" style="396" bestFit="1" customWidth="1"/>
    <col min="5634" max="5634" width="9.28515625" style="396" bestFit="1" customWidth="1"/>
    <col min="5635" max="5636" width="8.42578125" style="396" bestFit="1" customWidth="1"/>
    <col min="5637" max="5637" width="17.42578125" style="396" customWidth="1"/>
    <col min="5638" max="5638" width="20.28515625" style="396" customWidth="1"/>
    <col min="5639" max="5639" width="14" style="396" customWidth="1"/>
    <col min="5640" max="5888" width="11.42578125" style="396"/>
    <col min="5889" max="5889" width="30.5703125" style="396" bestFit="1" customWidth="1"/>
    <col min="5890" max="5890" width="9.28515625" style="396" bestFit="1" customWidth="1"/>
    <col min="5891" max="5892" width="8.42578125" style="396" bestFit="1" customWidth="1"/>
    <col min="5893" max="5893" width="17.42578125" style="396" customWidth="1"/>
    <col min="5894" max="5894" width="20.28515625" style="396" customWidth="1"/>
    <col min="5895" max="5895" width="14" style="396" customWidth="1"/>
    <col min="5896" max="6144" width="11.42578125" style="396"/>
    <col min="6145" max="6145" width="30.5703125" style="396" bestFit="1" customWidth="1"/>
    <col min="6146" max="6146" width="9.28515625" style="396" bestFit="1" customWidth="1"/>
    <col min="6147" max="6148" width="8.42578125" style="396" bestFit="1" customWidth="1"/>
    <col min="6149" max="6149" width="17.42578125" style="396" customWidth="1"/>
    <col min="6150" max="6150" width="20.28515625" style="396" customWidth="1"/>
    <col min="6151" max="6151" width="14" style="396" customWidth="1"/>
    <col min="6152" max="6400" width="11.42578125" style="396"/>
    <col min="6401" max="6401" width="30.5703125" style="396" bestFit="1" customWidth="1"/>
    <col min="6402" max="6402" width="9.28515625" style="396" bestFit="1" customWidth="1"/>
    <col min="6403" max="6404" width="8.42578125" style="396" bestFit="1" customWidth="1"/>
    <col min="6405" max="6405" width="17.42578125" style="396" customWidth="1"/>
    <col min="6406" max="6406" width="20.28515625" style="396" customWidth="1"/>
    <col min="6407" max="6407" width="14" style="396" customWidth="1"/>
    <col min="6408" max="6656" width="11.42578125" style="396"/>
    <col min="6657" max="6657" width="30.5703125" style="396" bestFit="1" customWidth="1"/>
    <col min="6658" max="6658" width="9.28515625" style="396" bestFit="1" customWidth="1"/>
    <col min="6659" max="6660" width="8.42578125" style="396" bestFit="1" customWidth="1"/>
    <col min="6661" max="6661" width="17.42578125" style="396" customWidth="1"/>
    <col min="6662" max="6662" width="20.28515625" style="396" customWidth="1"/>
    <col min="6663" max="6663" width="14" style="396" customWidth="1"/>
    <col min="6664" max="6912" width="11.42578125" style="396"/>
    <col min="6913" max="6913" width="30.5703125" style="396" bestFit="1" customWidth="1"/>
    <col min="6914" max="6914" width="9.28515625" style="396" bestFit="1" customWidth="1"/>
    <col min="6915" max="6916" width="8.42578125" style="396" bestFit="1" customWidth="1"/>
    <col min="6917" max="6917" width="17.42578125" style="396" customWidth="1"/>
    <col min="6918" max="6918" width="20.28515625" style="396" customWidth="1"/>
    <col min="6919" max="6919" width="14" style="396" customWidth="1"/>
    <col min="6920" max="7168" width="11.42578125" style="396"/>
    <col min="7169" max="7169" width="30.5703125" style="396" bestFit="1" customWidth="1"/>
    <col min="7170" max="7170" width="9.28515625" style="396" bestFit="1" customWidth="1"/>
    <col min="7171" max="7172" width="8.42578125" style="396" bestFit="1" customWidth="1"/>
    <col min="7173" max="7173" width="17.42578125" style="396" customWidth="1"/>
    <col min="7174" max="7174" width="20.28515625" style="396" customWidth="1"/>
    <col min="7175" max="7175" width="14" style="396" customWidth="1"/>
    <col min="7176" max="7424" width="11.42578125" style="396"/>
    <col min="7425" max="7425" width="30.5703125" style="396" bestFit="1" customWidth="1"/>
    <col min="7426" max="7426" width="9.28515625" style="396" bestFit="1" customWidth="1"/>
    <col min="7427" max="7428" width="8.42578125" style="396" bestFit="1" customWidth="1"/>
    <col min="7429" max="7429" width="17.42578125" style="396" customWidth="1"/>
    <col min="7430" max="7430" width="20.28515625" style="396" customWidth="1"/>
    <col min="7431" max="7431" width="14" style="396" customWidth="1"/>
    <col min="7432" max="7680" width="11.42578125" style="396"/>
    <col min="7681" max="7681" width="30.5703125" style="396" bestFit="1" customWidth="1"/>
    <col min="7682" max="7682" width="9.28515625" style="396" bestFit="1" customWidth="1"/>
    <col min="7683" max="7684" width="8.42578125" style="396" bestFit="1" customWidth="1"/>
    <col min="7685" max="7685" width="17.42578125" style="396" customWidth="1"/>
    <col min="7686" max="7686" width="20.28515625" style="396" customWidth="1"/>
    <col min="7687" max="7687" width="14" style="396" customWidth="1"/>
    <col min="7688" max="7936" width="11.42578125" style="396"/>
    <col min="7937" max="7937" width="30.5703125" style="396" bestFit="1" customWidth="1"/>
    <col min="7938" max="7938" width="9.28515625" style="396" bestFit="1" customWidth="1"/>
    <col min="7939" max="7940" width="8.42578125" style="396" bestFit="1" customWidth="1"/>
    <col min="7941" max="7941" width="17.42578125" style="396" customWidth="1"/>
    <col min="7942" max="7942" width="20.28515625" style="396" customWidth="1"/>
    <col min="7943" max="7943" width="14" style="396" customWidth="1"/>
    <col min="7944" max="8192" width="11.42578125" style="396"/>
    <col min="8193" max="8193" width="30.5703125" style="396" bestFit="1" customWidth="1"/>
    <col min="8194" max="8194" width="9.28515625" style="396" bestFit="1" customWidth="1"/>
    <col min="8195" max="8196" width="8.42578125" style="396" bestFit="1" customWidth="1"/>
    <col min="8197" max="8197" width="17.42578125" style="396" customWidth="1"/>
    <col min="8198" max="8198" width="20.28515625" style="396" customWidth="1"/>
    <col min="8199" max="8199" width="14" style="396" customWidth="1"/>
    <col min="8200" max="8448" width="11.42578125" style="396"/>
    <col min="8449" max="8449" width="30.5703125" style="396" bestFit="1" customWidth="1"/>
    <col min="8450" max="8450" width="9.28515625" style="396" bestFit="1" customWidth="1"/>
    <col min="8451" max="8452" width="8.42578125" style="396" bestFit="1" customWidth="1"/>
    <col min="8453" max="8453" width="17.42578125" style="396" customWidth="1"/>
    <col min="8454" max="8454" width="20.28515625" style="396" customWidth="1"/>
    <col min="8455" max="8455" width="14" style="396" customWidth="1"/>
    <col min="8456" max="8704" width="11.42578125" style="396"/>
    <col min="8705" max="8705" width="30.5703125" style="396" bestFit="1" customWidth="1"/>
    <col min="8706" max="8706" width="9.28515625" style="396" bestFit="1" customWidth="1"/>
    <col min="8707" max="8708" width="8.42578125" style="396" bestFit="1" customWidth="1"/>
    <col min="8709" max="8709" width="17.42578125" style="396" customWidth="1"/>
    <col min="8710" max="8710" width="20.28515625" style="396" customWidth="1"/>
    <col min="8711" max="8711" width="14" style="396" customWidth="1"/>
    <col min="8712" max="8960" width="11.42578125" style="396"/>
    <col min="8961" max="8961" width="30.5703125" style="396" bestFit="1" customWidth="1"/>
    <col min="8962" max="8962" width="9.28515625" style="396" bestFit="1" customWidth="1"/>
    <col min="8963" max="8964" width="8.42578125" style="396" bestFit="1" customWidth="1"/>
    <col min="8965" max="8965" width="17.42578125" style="396" customWidth="1"/>
    <col min="8966" max="8966" width="20.28515625" style="396" customWidth="1"/>
    <col min="8967" max="8967" width="14" style="396" customWidth="1"/>
    <col min="8968" max="9216" width="11.42578125" style="396"/>
    <col min="9217" max="9217" width="30.5703125" style="396" bestFit="1" customWidth="1"/>
    <col min="9218" max="9218" width="9.28515625" style="396" bestFit="1" customWidth="1"/>
    <col min="9219" max="9220" width="8.42578125" style="396" bestFit="1" customWidth="1"/>
    <col min="9221" max="9221" width="17.42578125" style="396" customWidth="1"/>
    <col min="9222" max="9222" width="20.28515625" style="396" customWidth="1"/>
    <col min="9223" max="9223" width="14" style="396" customWidth="1"/>
    <col min="9224" max="9472" width="11.42578125" style="396"/>
    <col min="9473" max="9473" width="30.5703125" style="396" bestFit="1" customWidth="1"/>
    <col min="9474" max="9474" width="9.28515625" style="396" bestFit="1" customWidth="1"/>
    <col min="9475" max="9476" width="8.42578125" style="396" bestFit="1" customWidth="1"/>
    <col min="9477" max="9477" width="17.42578125" style="396" customWidth="1"/>
    <col min="9478" max="9478" width="20.28515625" style="396" customWidth="1"/>
    <col min="9479" max="9479" width="14" style="396" customWidth="1"/>
    <col min="9480" max="9728" width="11.42578125" style="396"/>
    <col min="9729" max="9729" width="30.5703125" style="396" bestFit="1" customWidth="1"/>
    <col min="9730" max="9730" width="9.28515625" style="396" bestFit="1" customWidth="1"/>
    <col min="9731" max="9732" width="8.42578125" style="396" bestFit="1" customWidth="1"/>
    <col min="9733" max="9733" width="17.42578125" style="396" customWidth="1"/>
    <col min="9734" max="9734" width="20.28515625" style="396" customWidth="1"/>
    <col min="9735" max="9735" width="14" style="396" customWidth="1"/>
    <col min="9736" max="9984" width="11.42578125" style="396"/>
    <col min="9985" max="9985" width="30.5703125" style="396" bestFit="1" customWidth="1"/>
    <col min="9986" max="9986" width="9.28515625" style="396" bestFit="1" customWidth="1"/>
    <col min="9987" max="9988" width="8.42578125" style="396" bestFit="1" customWidth="1"/>
    <col min="9989" max="9989" width="17.42578125" style="396" customWidth="1"/>
    <col min="9990" max="9990" width="20.28515625" style="396" customWidth="1"/>
    <col min="9991" max="9991" width="14" style="396" customWidth="1"/>
    <col min="9992" max="10240" width="11.42578125" style="396"/>
    <col min="10241" max="10241" width="30.5703125" style="396" bestFit="1" customWidth="1"/>
    <col min="10242" max="10242" width="9.28515625" style="396" bestFit="1" customWidth="1"/>
    <col min="10243" max="10244" width="8.42578125" style="396" bestFit="1" customWidth="1"/>
    <col min="10245" max="10245" width="17.42578125" style="396" customWidth="1"/>
    <col min="10246" max="10246" width="20.28515625" style="396" customWidth="1"/>
    <col min="10247" max="10247" width="14" style="396" customWidth="1"/>
    <col min="10248" max="10496" width="11.42578125" style="396"/>
    <col min="10497" max="10497" width="30.5703125" style="396" bestFit="1" customWidth="1"/>
    <col min="10498" max="10498" width="9.28515625" style="396" bestFit="1" customWidth="1"/>
    <col min="10499" max="10500" width="8.42578125" style="396" bestFit="1" customWidth="1"/>
    <col min="10501" max="10501" width="17.42578125" style="396" customWidth="1"/>
    <col min="10502" max="10502" width="20.28515625" style="396" customWidth="1"/>
    <col min="10503" max="10503" width="14" style="396" customWidth="1"/>
    <col min="10504" max="10752" width="11.42578125" style="396"/>
    <col min="10753" max="10753" width="30.5703125" style="396" bestFit="1" customWidth="1"/>
    <col min="10754" max="10754" width="9.28515625" style="396" bestFit="1" customWidth="1"/>
    <col min="10755" max="10756" width="8.42578125" style="396" bestFit="1" customWidth="1"/>
    <col min="10757" max="10757" width="17.42578125" style="396" customWidth="1"/>
    <col min="10758" max="10758" width="20.28515625" style="396" customWidth="1"/>
    <col min="10759" max="10759" width="14" style="396" customWidth="1"/>
    <col min="10760" max="11008" width="11.42578125" style="396"/>
    <col min="11009" max="11009" width="30.5703125" style="396" bestFit="1" customWidth="1"/>
    <col min="11010" max="11010" width="9.28515625" style="396" bestFit="1" customWidth="1"/>
    <col min="11011" max="11012" width="8.42578125" style="396" bestFit="1" customWidth="1"/>
    <col min="11013" max="11013" width="17.42578125" style="396" customWidth="1"/>
    <col min="11014" max="11014" width="20.28515625" style="396" customWidth="1"/>
    <col min="11015" max="11015" width="14" style="396" customWidth="1"/>
    <col min="11016" max="11264" width="11.42578125" style="396"/>
    <col min="11265" max="11265" width="30.5703125" style="396" bestFit="1" customWidth="1"/>
    <col min="11266" max="11266" width="9.28515625" style="396" bestFit="1" customWidth="1"/>
    <col min="11267" max="11268" width="8.42578125" style="396" bestFit="1" customWidth="1"/>
    <col min="11269" max="11269" width="17.42578125" style="396" customWidth="1"/>
    <col min="11270" max="11270" width="20.28515625" style="396" customWidth="1"/>
    <col min="11271" max="11271" width="14" style="396" customWidth="1"/>
    <col min="11272" max="11520" width="11.42578125" style="396"/>
    <col min="11521" max="11521" width="30.5703125" style="396" bestFit="1" customWidth="1"/>
    <col min="11522" max="11522" width="9.28515625" style="396" bestFit="1" customWidth="1"/>
    <col min="11523" max="11524" width="8.42578125" style="396" bestFit="1" customWidth="1"/>
    <col min="11525" max="11525" width="17.42578125" style="396" customWidth="1"/>
    <col min="11526" max="11526" width="20.28515625" style="396" customWidth="1"/>
    <col min="11527" max="11527" width="14" style="396" customWidth="1"/>
    <col min="11528" max="11776" width="11.42578125" style="396"/>
    <col min="11777" max="11777" width="30.5703125" style="396" bestFit="1" customWidth="1"/>
    <col min="11778" max="11778" width="9.28515625" style="396" bestFit="1" customWidth="1"/>
    <col min="11779" max="11780" width="8.42578125" style="396" bestFit="1" customWidth="1"/>
    <col min="11781" max="11781" width="17.42578125" style="396" customWidth="1"/>
    <col min="11782" max="11782" width="20.28515625" style="396" customWidth="1"/>
    <col min="11783" max="11783" width="14" style="396" customWidth="1"/>
    <col min="11784" max="12032" width="11.42578125" style="396"/>
    <col min="12033" max="12033" width="30.5703125" style="396" bestFit="1" customWidth="1"/>
    <col min="12034" max="12034" width="9.28515625" style="396" bestFit="1" customWidth="1"/>
    <col min="12035" max="12036" width="8.42578125" style="396" bestFit="1" customWidth="1"/>
    <col min="12037" max="12037" width="17.42578125" style="396" customWidth="1"/>
    <col min="12038" max="12038" width="20.28515625" style="396" customWidth="1"/>
    <col min="12039" max="12039" width="14" style="396" customWidth="1"/>
    <col min="12040" max="12288" width="11.42578125" style="396"/>
    <col min="12289" max="12289" width="30.5703125" style="396" bestFit="1" customWidth="1"/>
    <col min="12290" max="12290" width="9.28515625" style="396" bestFit="1" customWidth="1"/>
    <col min="12291" max="12292" width="8.42578125" style="396" bestFit="1" customWidth="1"/>
    <col min="12293" max="12293" width="17.42578125" style="396" customWidth="1"/>
    <col min="12294" max="12294" width="20.28515625" style="396" customWidth="1"/>
    <col min="12295" max="12295" width="14" style="396" customWidth="1"/>
    <col min="12296" max="12544" width="11.42578125" style="396"/>
    <col min="12545" max="12545" width="30.5703125" style="396" bestFit="1" customWidth="1"/>
    <col min="12546" max="12546" width="9.28515625" style="396" bestFit="1" customWidth="1"/>
    <col min="12547" max="12548" width="8.42578125" style="396" bestFit="1" customWidth="1"/>
    <col min="12549" max="12549" width="17.42578125" style="396" customWidth="1"/>
    <col min="12550" max="12550" width="20.28515625" style="396" customWidth="1"/>
    <col min="12551" max="12551" width="14" style="396" customWidth="1"/>
    <col min="12552" max="12800" width="11.42578125" style="396"/>
    <col min="12801" max="12801" width="30.5703125" style="396" bestFit="1" customWidth="1"/>
    <col min="12802" max="12802" width="9.28515625" style="396" bestFit="1" customWidth="1"/>
    <col min="12803" max="12804" width="8.42578125" style="396" bestFit="1" customWidth="1"/>
    <col min="12805" max="12805" width="17.42578125" style="396" customWidth="1"/>
    <col min="12806" max="12806" width="20.28515625" style="396" customWidth="1"/>
    <col min="12807" max="12807" width="14" style="396" customWidth="1"/>
    <col min="12808" max="13056" width="11.42578125" style="396"/>
    <col min="13057" max="13057" width="30.5703125" style="396" bestFit="1" customWidth="1"/>
    <col min="13058" max="13058" width="9.28515625" style="396" bestFit="1" customWidth="1"/>
    <col min="13059" max="13060" width="8.42578125" style="396" bestFit="1" customWidth="1"/>
    <col min="13061" max="13061" width="17.42578125" style="396" customWidth="1"/>
    <col min="13062" max="13062" width="20.28515625" style="396" customWidth="1"/>
    <col min="13063" max="13063" width="14" style="396" customWidth="1"/>
    <col min="13064" max="13312" width="11.42578125" style="396"/>
    <col min="13313" max="13313" width="30.5703125" style="396" bestFit="1" customWidth="1"/>
    <col min="13314" max="13314" width="9.28515625" style="396" bestFit="1" customWidth="1"/>
    <col min="13315" max="13316" width="8.42578125" style="396" bestFit="1" customWidth="1"/>
    <col min="13317" max="13317" width="17.42578125" style="396" customWidth="1"/>
    <col min="13318" max="13318" width="20.28515625" style="396" customWidth="1"/>
    <col min="13319" max="13319" width="14" style="396" customWidth="1"/>
    <col min="13320" max="13568" width="11.42578125" style="396"/>
    <col min="13569" max="13569" width="30.5703125" style="396" bestFit="1" customWidth="1"/>
    <col min="13570" max="13570" width="9.28515625" style="396" bestFit="1" customWidth="1"/>
    <col min="13571" max="13572" width="8.42578125" style="396" bestFit="1" customWidth="1"/>
    <col min="13573" max="13573" width="17.42578125" style="396" customWidth="1"/>
    <col min="13574" max="13574" width="20.28515625" style="396" customWidth="1"/>
    <col min="13575" max="13575" width="14" style="396" customWidth="1"/>
    <col min="13576" max="13824" width="11.42578125" style="396"/>
    <col min="13825" max="13825" width="30.5703125" style="396" bestFit="1" customWidth="1"/>
    <col min="13826" max="13826" width="9.28515625" style="396" bestFit="1" customWidth="1"/>
    <col min="13827" max="13828" width="8.42578125" style="396" bestFit="1" customWidth="1"/>
    <col min="13829" max="13829" width="17.42578125" style="396" customWidth="1"/>
    <col min="13830" max="13830" width="20.28515625" style="396" customWidth="1"/>
    <col min="13831" max="13831" width="14" style="396" customWidth="1"/>
    <col min="13832" max="14080" width="11.42578125" style="396"/>
    <col min="14081" max="14081" width="30.5703125" style="396" bestFit="1" customWidth="1"/>
    <col min="14082" max="14082" width="9.28515625" style="396" bestFit="1" customWidth="1"/>
    <col min="14083" max="14084" width="8.42578125" style="396" bestFit="1" customWidth="1"/>
    <col min="14085" max="14085" width="17.42578125" style="396" customWidth="1"/>
    <col min="14086" max="14086" width="20.28515625" style="396" customWidth="1"/>
    <col min="14087" max="14087" width="14" style="396" customWidth="1"/>
    <col min="14088" max="14336" width="11.42578125" style="396"/>
    <col min="14337" max="14337" width="30.5703125" style="396" bestFit="1" customWidth="1"/>
    <col min="14338" max="14338" width="9.28515625" style="396" bestFit="1" customWidth="1"/>
    <col min="14339" max="14340" width="8.42578125" style="396" bestFit="1" customWidth="1"/>
    <col min="14341" max="14341" width="17.42578125" style="396" customWidth="1"/>
    <col min="14342" max="14342" width="20.28515625" style="396" customWidth="1"/>
    <col min="14343" max="14343" width="14" style="396" customWidth="1"/>
    <col min="14344" max="14592" width="11.42578125" style="396"/>
    <col min="14593" max="14593" width="30.5703125" style="396" bestFit="1" customWidth="1"/>
    <col min="14594" max="14594" width="9.28515625" style="396" bestFit="1" customWidth="1"/>
    <col min="14595" max="14596" width="8.42578125" style="396" bestFit="1" customWidth="1"/>
    <col min="14597" max="14597" width="17.42578125" style="396" customWidth="1"/>
    <col min="14598" max="14598" width="20.28515625" style="396" customWidth="1"/>
    <col min="14599" max="14599" width="14" style="396" customWidth="1"/>
    <col min="14600" max="14848" width="11.42578125" style="396"/>
    <col min="14849" max="14849" width="30.5703125" style="396" bestFit="1" customWidth="1"/>
    <col min="14850" max="14850" width="9.28515625" style="396" bestFit="1" customWidth="1"/>
    <col min="14851" max="14852" width="8.42578125" style="396" bestFit="1" customWidth="1"/>
    <col min="14853" max="14853" width="17.42578125" style="396" customWidth="1"/>
    <col min="14854" max="14854" width="20.28515625" style="396" customWidth="1"/>
    <col min="14855" max="14855" width="14" style="396" customWidth="1"/>
    <col min="14856" max="15104" width="11.42578125" style="396"/>
    <col min="15105" max="15105" width="30.5703125" style="396" bestFit="1" customWidth="1"/>
    <col min="15106" max="15106" width="9.28515625" style="396" bestFit="1" customWidth="1"/>
    <col min="15107" max="15108" width="8.42578125" style="396" bestFit="1" customWidth="1"/>
    <col min="15109" max="15109" width="17.42578125" style="396" customWidth="1"/>
    <col min="15110" max="15110" width="20.28515625" style="396" customWidth="1"/>
    <col min="15111" max="15111" width="14" style="396" customWidth="1"/>
    <col min="15112" max="15360" width="11.42578125" style="396"/>
    <col min="15361" max="15361" width="30.5703125" style="396" bestFit="1" customWidth="1"/>
    <col min="15362" max="15362" width="9.28515625" style="396" bestFit="1" customWidth="1"/>
    <col min="15363" max="15364" width="8.42578125" style="396" bestFit="1" customWidth="1"/>
    <col min="15365" max="15365" width="17.42578125" style="396" customWidth="1"/>
    <col min="15366" max="15366" width="20.28515625" style="396" customWidth="1"/>
    <col min="15367" max="15367" width="14" style="396" customWidth="1"/>
    <col min="15368" max="15616" width="11.42578125" style="396"/>
    <col min="15617" max="15617" width="30.5703125" style="396" bestFit="1" customWidth="1"/>
    <col min="15618" max="15618" width="9.28515625" style="396" bestFit="1" customWidth="1"/>
    <col min="15619" max="15620" width="8.42578125" style="396" bestFit="1" customWidth="1"/>
    <col min="15621" max="15621" width="17.42578125" style="396" customWidth="1"/>
    <col min="15622" max="15622" width="20.28515625" style="396" customWidth="1"/>
    <col min="15623" max="15623" width="14" style="396" customWidth="1"/>
    <col min="15624" max="15872" width="11.42578125" style="396"/>
    <col min="15873" max="15873" width="30.5703125" style="396" bestFit="1" customWidth="1"/>
    <col min="15874" max="15874" width="9.28515625" style="396" bestFit="1" customWidth="1"/>
    <col min="15875" max="15876" width="8.42578125" style="396" bestFit="1" customWidth="1"/>
    <col min="15877" max="15877" width="17.42578125" style="396" customWidth="1"/>
    <col min="15878" max="15878" width="20.28515625" style="396" customWidth="1"/>
    <col min="15879" max="15879" width="14" style="396" customWidth="1"/>
    <col min="15880" max="16128" width="11.42578125" style="396"/>
    <col min="16129" max="16129" width="30.5703125" style="396" bestFit="1" customWidth="1"/>
    <col min="16130" max="16130" width="9.28515625" style="396" bestFit="1" customWidth="1"/>
    <col min="16131" max="16132" width="8.42578125" style="396" bestFit="1" customWidth="1"/>
    <col min="16133" max="16133" width="17.42578125" style="396" customWidth="1"/>
    <col min="16134" max="16134" width="20.28515625" style="396" customWidth="1"/>
    <col min="16135" max="16135" width="14" style="396" customWidth="1"/>
    <col min="16136" max="16384" width="11.42578125" style="396"/>
  </cols>
  <sheetData>
    <row r="4" spans="1:12" ht="13.5" thickBot="1" x14ac:dyDescent="0.25"/>
    <row r="5" spans="1:12" ht="40.5" customHeight="1" thickBot="1" x14ac:dyDescent="0.25">
      <c r="A5" s="397"/>
      <c r="B5" s="399">
        <v>2011</v>
      </c>
      <c r="C5" s="399">
        <v>2012</v>
      </c>
      <c r="D5" s="399">
        <v>2013</v>
      </c>
      <c r="E5" s="399" t="s">
        <v>837</v>
      </c>
      <c r="F5" s="399" t="s">
        <v>838</v>
      </c>
      <c r="G5" s="1235" t="s">
        <v>839</v>
      </c>
      <c r="H5" s="1034"/>
      <c r="I5" s="1034"/>
      <c r="J5" s="1034"/>
    </row>
    <row r="6" spans="1:12" ht="40.5" customHeight="1" thickBot="1" x14ac:dyDescent="0.25">
      <c r="A6" s="400" t="s">
        <v>312</v>
      </c>
      <c r="B6" s="415">
        <f>DATOS!M222</f>
        <v>0</v>
      </c>
      <c r="C6" s="415">
        <f>DATOS!Q222</f>
        <v>0</v>
      </c>
      <c r="D6" s="415">
        <f>DATOS!U222</f>
        <v>0</v>
      </c>
      <c r="E6" s="1112">
        <f>DATOS!AE222</f>
        <v>0</v>
      </c>
      <c r="F6" s="767">
        <f>DATOS!Y222</f>
        <v>0</v>
      </c>
      <c r="G6" s="421">
        <f>DATOS!AC222</f>
        <v>0</v>
      </c>
      <c r="H6" s="1035"/>
      <c r="I6" s="1035"/>
      <c r="J6" s="1035"/>
    </row>
    <row r="7" spans="1:12" ht="40.5" customHeight="1" thickBot="1" x14ac:dyDescent="0.25">
      <c r="A7" s="400" t="s">
        <v>302</v>
      </c>
      <c r="B7" s="416">
        <f>DATOS!M224</f>
        <v>0</v>
      </c>
      <c r="C7" s="416">
        <f>DATOS!Q224</f>
        <v>0</v>
      </c>
      <c r="D7" s="416">
        <f>DATOS!U224</f>
        <v>0</v>
      </c>
      <c r="E7" s="765">
        <f>DATOS!U224</f>
        <v>0</v>
      </c>
      <c r="F7" s="768">
        <f>DATOS!Y224</f>
        <v>0</v>
      </c>
      <c r="G7" s="1236">
        <f>DATOS!AC224</f>
        <v>0</v>
      </c>
      <c r="H7" s="1035"/>
      <c r="I7" s="1035"/>
      <c r="J7" s="1035"/>
      <c r="L7" s="401"/>
    </row>
    <row r="8" spans="1:12" ht="40.5" customHeight="1" thickBot="1" x14ac:dyDescent="0.25">
      <c r="A8" s="402" t="s">
        <v>313</v>
      </c>
      <c r="B8" s="419">
        <f>DATOS!M228</f>
        <v>0</v>
      </c>
      <c r="C8" s="419">
        <f>DATOS!Q228</f>
        <v>0</v>
      </c>
      <c r="D8" s="419">
        <f>DATOS!U228</f>
        <v>0</v>
      </c>
      <c r="E8" s="766">
        <f>DATOS!U228</f>
        <v>0</v>
      </c>
      <c r="F8" s="769">
        <f>DATOS!Y228</f>
        <v>0</v>
      </c>
      <c r="G8" s="1237" t="e">
        <f>DATOS!AC228</f>
        <v>#DIV/0!</v>
      </c>
      <c r="H8" s="1036"/>
      <c r="I8" s="1036"/>
      <c r="J8" s="1036"/>
    </row>
    <row r="9" spans="1:12" ht="40.5" customHeight="1" thickBot="1" x14ac:dyDescent="0.25">
      <c r="A9" s="402" t="s">
        <v>314</v>
      </c>
      <c r="B9" s="419">
        <f>DATOS!M229</f>
        <v>0</v>
      </c>
      <c r="C9" s="419">
        <f>DATOS!Q229</f>
        <v>0</v>
      </c>
      <c r="D9" s="419">
        <f>DATOS!U229</f>
        <v>0</v>
      </c>
      <c r="E9" s="766">
        <f>DATOS!U229</f>
        <v>0</v>
      </c>
      <c r="F9" s="769">
        <f>DATOS!Y229</f>
        <v>0</v>
      </c>
      <c r="G9" s="1237" t="e">
        <f>DATOS!AC229</f>
        <v>#DIV/0!</v>
      </c>
      <c r="H9" s="1036"/>
      <c r="I9" s="1036"/>
      <c r="J9" s="1036"/>
    </row>
    <row r="10" spans="1:12" ht="40.5" customHeight="1" thickBot="1" x14ac:dyDescent="0.25">
      <c r="A10" s="402" t="s">
        <v>315</v>
      </c>
      <c r="B10" s="419">
        <f>DATOS!M230</f>
        <v>0</v>
      </c>
      <c r="C10" s="419">
        <f>DATOS!Q230</f>
        <v>0</v>
      </c>
      <c r="D10" s="419">
        <f>DATOS!U230</f>
        <v>0</v>
      </c>
      <c r="E10" s="766">
        <f>DATOS!U230</f>
        <v>0</v>
      </c>
      <c r="F10" s="769">
        <f>DATOS!Y230</f>
        <v>0</v>
      </c>
      <c r="G10" s="1237" t="e">
        <f>DATOS!AC230</f>
        <v>#DIV/0!</v>
      </c>
      <c r="H10" s="1036"/>
      <c r="I10" s="1036"/>
      <c r="J10" s="1036"/>
    </row>
    <row r="11" spans="1:12" ht="40.5" customHeight="1" thickBot="1" x14ac:dyDescent="0.25">
      <c r="A11" s="402" t="s">
        <v>316</v>
      </c>
      <c r="B11" s="419">
        <f>DATOS!M233</f>
        <v>0</v>
      </c>
      <c r="C11" s="419">
        <f>DATOS!Q233</f>
        <v>0</v>
      </c>
      <c r="D11" s="419">
        <f>DATOS!U233</f>
        <v>0</v>
      </c>
      <c r="E11" s="766">
        <f>DATOS!U233</f>
        <v>0</v>
      </c>
      <c r="F11" s="769">
        <f>DATOS!Y233</f>
        <v>0</v>
      </c>
      <c r="G11" s="1237" t="e">
        <f>DATOS!AC233</f>
        <v>#DIV/0!</v>
      </c>
      <c r="H11" s="1036"/>
      <c r="I11" s="1036"/>
      <c r="J11" s="1036"/>
    </row>
    <row r="12" spans="1:12" ht="40.5" customHeight="1" thickBot="1" x14ac:dyDescent="0.25">
      <c r="A12" s="402" t="s">
        <v>60</v>
      </c>
      <c r="B12" s="419">
        <f>DATOS!M231</f>
        <v>0</v>
      </c>
      <c r="C12" s="419">
        <f>DATOS!Q231</f>
        <v>0</v>
      </c>
      <c r="D12" s="419">
        <f>DATOS!U231</f>
        <v>0</v>
      </c>
      <c r="E12" s="766">
        <f>DATOS!U231</f>
        <v>0</v>
      </c>
      <c r="F12" s="769">
        <f>DATOS!Y231</f>
        <v>0</v>
      </c>
      <c r="G12" s="1237" t="e">
        <f>DATOS!AC231</f>
        <v>#DIV/0!</v>
      </c>
      <c r="H12" s="1036"/>
      <c r="I12" s="1036"/>
      <c r="J12" s="1036"/>
    </row>
    <row r="13" spans="1:12" ht="40.5" customHeight="1" thickBot="1" x14ac:dyDescent="0.25">
      <c r="A13" s="402" t="s">
        <v>317</v>
      </c>
      <c r="B13" s="419">
        <f>DATOS!M232</f>
        <v>0</v>
      </c>
      <c r="C13" s="419">
        <f>DATOS!Q232</f>
        <v>0</v>
      </c>
      <c r="D13" s="419">
        <f>DATOS!U232</f>
        <v>0</v>
      </c>
      <c r="E13" s="766">
        <f>DATOS!U232</f>
        <v>0</v>
      </c>
      <c r="F13" s="769">
        <f>DATOS!Y232</f>
        <v>0</v>
      </c>
      <c r="G13" s="1237" t="e">
        <f>DATOS!AC232</f>
        <v>#DIV/0!</v>
      </c>
      <c r="H13" s="1036"/>
      <c r="I13" s="1036"/>
      <c r="J13" s="1036"/>
    </row>
    <row r="14" spans="1:12" ht="40.5" customHeight="1" thickBot="1" x14ac:dyDescent="0.25">
      <c r="A14" s="402" t="s">
        <v>318</v>
      </c>
      <c r="B14" s="419">
        <v>0</v>
      </c>
      <c r="C14" s="419">
        <v>0</v>
      </c>
      <c r="D14" s="1033">
        <v>0</v>
      </c>
      <c r="E14" s="766">
        <v>0</v>
      </c>
      <c r="F14" s="769">
        <v>0</v>
      </c>
      <c r="G14" s="1237">
        <v>0</v>
      </c>
      <c r="H14" s="1036"/>
      <c r="I14" s="1036"/>
      <c r="J14" s="1036"/>
    </row>
    <row r="15" spans="1:12" ht="40.5" customHeight="1" thickBot="1" x14ac:dyDescent="0.25">
      <c r="A15" s="400" t="s">
        <v>319</v>
      </c>
      <c r="B15" s="420">
        <f>DATOS!K235</f>
        <v>0</v>
      </c>
      <c r="C15" s="420">
        <f>DATOS!O235</f>
        <v>0</v>
      </c>
      <c r="D15" s="420">
        <f>DATOS!S235</f>
        <v>0</v>
      </c>
      <c r="E15" s="645">
        <f>DATOS!S235</f>
        <v>0</v>
      </c>
      <c r="F15" s="645">
        <f>DATOS!W235</f>
        <v>0</v>
      </c>
      <c r="G15" s="1238">
        <f>DATOS!AA235</f>
        <v>0</v>
      </c>
      <c r="H15" s="1037"/>
      <c r="I15" s="1037"/>
      <c r="J15" s="1037"/>
    </row>
    <row r="16" spans="1:12" ht="13.5" thickBot="1" x14ac:dyDescent="0.25"/>
    <row r="17" spans="1:13" ht="21.95" customHeight="1" thickBot="1" x14ac:dyDescent="0.25">
      <c r="A17" s="414" t="s">
        <v>840</v>
      </c>
      <c r="B17" s="398" t="s">
        <v>0</v>
      </c>
      <c r="C17" s="398" t="s">
        <v>1</v>
      </c>
      <c r="D17" s="398" t="s">
        <v>2</v>
      </c>
      <c r="E17" s="398" t="s">
        <v>3</v>
      </c>
      <c r="F17" s="398" t="s">
        <v>4</v>
      </c>
      <c r="G17" s="398" t="s">
        <v>5</v>
      </c>
      <c r="H17" s="398" t="s">
        <v>6</v>
      </c>
      <c r="I17" s="398" t="s">
        <v>7</v>
      </c>
      <c r="J17" s="398" t="s">
        <v>8</v>
      </c>
      <c r="K17" s="398" t="s">
        <v>9</v>
      </c>
      <c r="L17" s="398" t="s">
        <v>10</v>
      </c>
      <c r="M17" s="398" t="s">
        <v>11</v>
      </c>
    </row>
    <row r="18" spans="1:13" ht="21.95" customHeight="1" thickBot="1" x14ac:dyDescent="0.25">
      <c r="A18" s="400" t="s">
        <v>312</v>
      </c>
      <c r="B18" s="415">
        <f>DATOS!E242</f>
        <v>0.1454197020113033</v>
      </c>
      <c r="C18" s="415">
        <f>DATOS!I242</f>
        <v>0.13686246360046528</v>
      </c>
      <c r="D18" s="415">
        <f>DATOS!M242</f>
        <v>0.19029926960085947</v>
      </c>
      <c r="E18" s="415">
        <f>DATOS!Q242</f>
        <v>0.19058029110320793</v>
      </c>
      <c r="F18" s="415">
        <f>DATOS!U242</f>
        <v>0.13941632861115824</v>
      </c>
      <c r="G18" s="415">
        <f>DATOS!Y242</f>
        <v>0.13436282678797237</v>
      </c>
      <c r="H18" s="415">
        <f>DATOS!AC242</f>
        <v>2.5567428715419383E-2</v>
      </c>
      <c r="I18" s="415">
        <f>DATOS!AG242</f>
        <v>0.79752580750617308</v>
      </c>
      <c r="J18" s="415">
        <f>DATOS!AK242</f>
        <v>9.2565916689693994E-2</v>
      </c>
      <c r="K18" s="415">
        <f>DATOS!AO242</f>
        <v>9.7084309123774457E-2</v>
      </c>
      <c r="L18" s="415">
        <f>DATOS!AS242</f>
        <v>7.8418666992491004E-2</v>
      </c>
      <c r="M18" s="415">
        <f>DATOS!AW242</f>
        <v>-0.9982976052695326</v>
      </c>
    </row>
    <row r="19" spans="1:13" ht="21.95" customHeight="1" thickBot="1" x14ac:dyDescent="0.25">
      <c r="A19" s="400" t="s">
        <v>302</v>
      </c>
      <c r="B19" s="416">
        <f>DATOS!E244</f>
        <v>0.85458029798869661</v>
      </c>
      <c r="C19" s="416">
        <f>DATOS!I244</f>
        <v>0.86313753639953461</v>
      </c>
      <c r="D19" s="416">
        <f>DATOS!M244</f>
        <v>0.80970073039914059</v>
      </c>
      <c r="E19" s="416">
        <f>DATOS!Q244</f>
        <v>0.80941970889679205</v>
      </c>
      <c r="F19" s="416">
        <f>DATOS!U244</f>
        <v>0.86058367138884173</v>
      </c>
      <c r="G19" s="416">
        <f>DATOS!Y244</f>
        <v>0.8656371732120276</v>
      </c>
      <c r="H19" s="416">
        <f>DATOS!AC244</f>
        <v>0.97443257128458072</v>
      </c>
      <c r="I19" s="416">
        <f>DATOS!AG244</f>
        <v>0.20247419249382695</v>
      </c>
      <c r="J19" s="416">
        <f>DATOS!AK244</f>
        <v>0.90743408331030606</v>
      </c>
      <c r="K19" s="416">
        <f>DATOS!AO244</f>
        <v>0.90291569087622547</v>
      </c>
      <c r="L19" s="416">
        <f>DATOS!AS244</f>
        <v>0.92158133300750911</v>
      </c>
      <c r="M19" s="416">
        <f>DATOS!AW244</f>
        <v>1.9982976052695325</v>
      </c>
    </row>
    <row r="20" spans="1:13" ht="21.95" customHeight="1" thickBot="1" x14ac:dyDescent="0.25">
      <c r="A20" s="402" t="s">
        <v>313</v>
      </c>
      <c r="B20" s="417">
        <f>DATOS!E247</f>
        <v>0.23604771344544939</v>
      </c>
      <c r="C20" s="417">
        <f>DATOS!I247</f>
        <v>0.19551290093426729</v>
      </c>
      <c r="D20" s="417">
        <f>DATOS!M247</f>
        <v>0.32953392563148259</v>
      </c>
      <c r="E20" s="417">
        <f>DATOS!Q247</f>
        <v>0.22262756693238137</v>
      </c>
      <c r="F20" s="417">
        <f>DATOS!U247</f>
        <v>0.19418692039426216</v>
      </c>
      <c r="G20" s="417">
        <f>DATOS!Y247</f>
        <v>0.17576217139245165</v>
      </c>
      <c r="H20" s="417">
        <f>DATOS!AC247</f>
        <v>0</v>
      </c>
      <c r="I20" s="417">
        <f>DATOS!AG247</f>
        <v>0</v>
      </c>
      <c r="J20" s="417">
        <f>DATOS!AK247</f>
        <v>0</v>
      </c>
      <c r="K20" s="417">
        <f>DATOS!AO247</f>
        <v>0</v>
      </c>
      <c r="L20" s="417">
        <f>DATOS!AS247</f>
        <v>0</v>
      </c>
      <c r="M20" s="417">
        <f>DATOS!AW247</f>
        <v>0</v>
      </c>
    </row>
    <row r="21" spans="1:13" ht="21.95" customHeight="1" thickBot="1" x14ac:dyDescent="0.25">
      <c r="A21" s="402" t="s">
        <v>314</v>
      </c>
      <c r="B21" s="417">
        <f>DATOS!E248</f>
        <v>0.4041954789649651</v>
      </c>
      <c r="C21" s="417">
        <f>DATOS!I248</f>
        <v>0.28605838584379195</v>
      </c>
      <c r="D21" s="417">
        <f>DATOS!M248</f>
        <v>0.54787400237383543</v>
      </c>
      <c r="E21" s="417">
        <f>DATOS!Q248</f>
        <v>0.37335791145333602</v>
      </c>
      <c r="F21" s="417">
        <f>DATOS!U248</f>
        <v>0.30738804408204939</v>
      </c>
      <c r="G21" s="417">
        <f>DATOS!Y248</f>
        <v>0.27364795063987968</v>
      </c>
      <c r="H21" s="417">
        <f>DATOS!AC248</f>
        <v>3.0483630333591142E-2</v>
      </c>
      <c r="I21" s="417">
        <f>DATOS!AG248</f>
        <v>5.6311898167322436</v>
      </c>
      <c r="J21" s="417">
        <f>DATOS!AK248</f>
        <v>0.23517292575008902</v>
      </c>
      <c r="K21" s="417">
        <f>DATOS!AO248</f>
        <v>0.22844971216095122</v>
      </c>
      <c r="L21" s="417">
        <f>DATOS!AS248</f>
        <v>0.24429475531795949</v>
      </c>
      <c r="M21" s="417">
        <f>DATOS!AW248</f>
        <v>0.17758212164727064</v>
      </c>
    </row>
    <row r="22" spans="1:13" ht="21.95" customHeight="1" thickBot="1" x14ac:dyDescent="0.25">
      <c r="A22" s="402" t="s">
        <v>315</v>
      </c>
      <c r="B22" s="417">
        <f>DATOS!E249</f>
        <v>3.343907287667762E-2</v>
      </c>
      <c r="C22" s="417">
        <f>DATOS!I249</f>
        <v>1.5960492007125984E-2</v>
      </c>
      <c r="D22" s="417">
        <f>DATOS!M249</f>
        <v>2.0447978324452852E-2</v>
      </c>
      <c r="E22" s="417">
        <f>DATOS!Q249</f>
        <v>1.7872591016185841E-2</v>
      </c>
      <c r="F22" s="417">
        <f>DATOS!U249</f>
        <v>1.7309949370464605E-2</v>
      </c>
      <c r="G22" s="417">
        <f>DATOS!Y249</f>
        <v>3.399561935221132E-3</v>
      </c>
      <c r="H22" s="417">
        <f>DATOS!AC249</f>
        <v>6.9374230133728055E-4</v>
      </c>
      <c r="I22" s="417">
        <f>DATOS!AG249</f>
        <v>0.12545622799751505</v>
      </c>
      <c r="J22" s="417">
        <f>DATOS!AK249</f>
        <v>6.7079971322673761E-3</v>
      </c>
      <c r="K22" s="417">
        <f>DATOS!AO249</f>
        <v>1.8116949598516525E-2</v>
      </c>
      <c r="L22" s="417">
        <f>DATOS!AS249</f>
        <v>2.1050121144177117E-3</v>
      </c>
      <c r="M22" s="417">
        <f>DATOS!AW249</f>
        <v>3.083798298950826E-2</v>
      </c>
    </row>
    <row r="23" spans="1:13" ht="21.95" customHeight="1" thickBot="1" x14ac:dyDescent="0.25">
      <c r="A23" s="402" t="s">
        <v>316</v>
      </c>
      <c r="B23" s="417">
        <f>DATOS!E252</f>
        <v>0.19535623225965115</v>
      </c>
      <c r="C23" s="417">
        <f>DATOS!I252</f>
        <v>0.1393672748542534</v>
      </c>
      <c r="D23" s="417">
        <f>DATOS!M252</f>
        <v>0.26319053503628898</v>
      </c>
      <c r="E23" s="417">
        <f>DATOS!Q252</f>
        <v>9.985395791220418E-2</v>
      </c>
      <c r="F23" s="417">
        <f>DATOS!U252</f>
        <v>0.2215613996818985</v>
      </c>
      <c r="G23" s="417">
        <f>DATOS!Y252</f>
        <v>0</v>
      </c>
      <c r="H23" s="417">
        <f>DATOS!AC252</f>
        <v>0</v>
      </c>
      <c r="I23" s="417">
        <f>DATOS!AG252</f>
        <v>0</v>
      </c>
      <c r="J23" s="417">
        <f>DATOS!AK252</f>
        <v>0</v>
      </c>
      <c r="K23" s="417">
        <f>DATOS!AO252</f>
        <v>0</v>
      </c>
      <c r="L23" s="417">
        <f>DATOS!AS252</f>
        <v>0</v>
      </c>
      <c r="M23" s="417">
        <f>DATOS!AW252</f>
        <v>0</v>
      </c>
    </row>
    <row r="24" spans="1:13" ht="21.95" customHeight="1" thickBot="1" x14ac:dyDescent="0.25">
      <c r="A24" s="402" t="s">
        <v>60</v>
      </c>
      <c r="B24" s="417">
        <f>DATOS!E250</f>
        <v>3.4280152887222852E-3</v>
      </c>
      <c r="C24" s="417">
        <f>DATOS!I250</f>
        <v>3.1455680816485361E-3</v>
      </c>
      <c r="D24" s="417">
        <f>DATOS!M250</f>
        <v>7.2513377443458333E-3</v>
      </c>
      <c r="E24" s="417">
        <f>DATOS!Q250</f>
        <v>3.3323125225592927E-3</v>
      </c>
      <c r="F24" s="417">
        <f>DATOS!U250</f>
        <v>8.6352456808581862E-2</v>
      </c>
      <c r="G24" s="417">
        <f>DATOS!Y250</f>
        <v>4.0583101014341674E-3</v>
      </c>
      <c r="H24" s="417">
        <f>DATOS!AC250</f>
        <v>4.3652175180278581E-4</v>
      </c>
      <c r="I24" s="417">
        <f>DATOS!AG250</f>
        <v>0.10735594843652933</v>
      </c>
      <c r="J24" s="417">
        <f>DATOS!AK250</f>
        <v>3.7252011632275921E-3</v>
      </c>
      <c r="K24" s="417">
        <f>DATOS!AO250</f>
        <v>2.5416577541826761E-3</v>
      </c>
      <c r="L24" s="417">
        <f>DATOS!AS250</f>
        <v>3.0969478377127738E-3</v>
      </c>
      <c r="M24" s="417">
        <f>DATOS!AW250</f>
        <v>3.667072883405184E-3</v>
      </c>
    </row>
    <row r="25" spans="1:13" ht="21.95" customHeight="1" thickBot="1" x14ac:dyDescent="0.25">
      <c r="A25" s="402" t="s">
        <v>317</v>
      </c>
      <c r="B25" s="417">
        <f>DATOS!E251</f>
        <v>9.5971386278716434E-3</v>
      </c>
      <c r="C25" s="417">
        <f>DATOS!I251</f>
        <v>4.966469952116386E-3</v>
      </c>
      <c r="D25" s="417">
        <f>DATOS!M251</f>
        <v>6.1816464674268835E-3</v>
      </c>
      <c r="E25" s="417">
        <f>DATOS!Q251</f>
        <v>6.0000075085906322E-3</v>
      </c>
      <c r="F25" s="417">
        <f>DATOS!U251</f>
        <v>9.123825554624352E-3</v>
      </c>
      <c r="G25" s="417">
        <f>DATOS!Y251</f>
        <v>1.3467425811229618E-3</v>
      </c>
      <c r="H25" s="417">
        <f>DATOS!AC251</f>
        <v>1.3223430825030401E-3</v>
      </c>
      <c r="I25" s="417">
        <f>DATOS!AG251</f>
        <v>5.1188134189273149E-2</v>
      </c>
      <c r="J25" s="417">
        <f>DATOS!AK251</f>
        <v>5.3267640248063864E-3</v>
      </c>
      <c r="K25" s="417">
        <f>DATOS!AO251</f>
        <v>3.1377413106316639E-3</v>
      </c>
      <c r="L25" s="417">
        <f>DATOS!AS251</f>
        <v>6.2422536824552162E-3</v>
      </c>
      <c r="M25" s="417">
        <f>DATOS!AW251</f>
        <v>4.2299192862340282E-3</v>
      </c>
    </row>
    <row r="26" spans="1:13" ht="21.95" customHeight="1" thickBot="1" x14ac:dyDescent="0.25">
      <c r="A26" s="402" t="s">
        <v>318</v>
      </c>
      <c r="B26" s="417">
        <v>0</v>
      </c>
      <c r="C26" s="417">
        <v>0</v>
      </c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0</v>
      </c>
    </row>
    <row r="27" spans="1:13" ht="21.95" customHeight="1" thickBot="1" x14ac:dyDescent="0.25">
      <c r="A27" s="400" t="s">
        <v>319</v>
      </c>
      <c r="B27" s="416">
        <f>DATOS!B254</f>
        <v>0.35122447135545898</v>
      </c>
      <c r="C27" s="416">
        <f>DATOS!F254</f>
        <v>5.6638987219051737E-2</v>
      </c>
      <c r="D27" s="416">
        <f>DATOS!J254</f>
        <v>0.37402172767852182</v>
      </c>
      <c r="E27" s="416">
        <f>DATOS!N254</f>
        <v>5.3729291913557631E-3</v>
      </c>
      <c r="F27" s="416">
        <f>DATOS!R254</f>
        <v>0.25403489440145943</v>
      </c>
      <c r="G27" s="416">
        <f>DATOS!U254</f>
        <v>0</v>
      </c>
      <c r="H27" s="416">
        <f>DATOS!Y254</f>
        <v>0</v>
      </c>
      <c r="I27" s="416">
        <f>DATOS!AC254</f>
        <v>0</v>
      </c>
      <c r="J27" s="416">
        <f>DATOS!AG254</f>
        <v>0</v>
      </c>
      <c r="K27" s="416">
        <f>DATOS!AK254</f>
        <v>0</v>
      </c>
      <c r="L27" s="416">
        <f>DATOS!AO254</f>
        <v>0</v>
      </c>
      <c r="M27" s="416">
        <f>DATOS!AS254</f>
        <v>0</v>
      </c>
    </row>
  </sheetData>
  <pageMargins left="0.7" right="0.7" top="0.75" bottom="0.75" header="0.3" footer="0.3"/>
  <pageSetup paperSize="9" orientation="portrait" r:id="rId1"/>
  <ignoredErrors>
    <ignoredError sqref="H18:M25" evalErro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70C0"/>
    <pageSetUpPr fitToPage="1"/>
  </sheetPr>
  <dimension ref="D5:V31"/>
  <sheetViews>
    <sheetView workbookViewId="0">
      <selection activeCell="P7" sqref="P7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0.85546875" style="90"/>
    <col min="5" max="5" width="12" style="90" customWidth="1"/>
    <col min="6" max="6" width="10.8554687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2.8554687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0.8554687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0.85546875" style="90"/>
    <col min="261" max="261" width="10.7109375" style="90" customWidth="1"/>
    <col min="262" max="262" width="10.8554687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0.8554687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0.85546875" style="90"/>
    <col min="517" max="517" width="10.7109375" style="90" customWidth="1"/>
    <col min="518" max="518" width="10.8554687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0.8554687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0.85546875" style="90"/>
    <col min="773" max="773" width="10.7109375" style="90" customWidth="1"/>
    <col min="774" max="774" width="10.8554687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0.8554687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0.85546875" style="90"/>
    <col min="1029" max="1029" width="10.7109375" style="90" customWidth="1"/>
    <col min="1030" max="1030" width="10.8554687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0.8554687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0.85546875" style="90"/>
    <col min="1285" max="1285" width="10.7109375" style="90" customWidth="1"/>
    <col min="1286" max="1286" width="10.8554687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0.8554687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0.85546875" style="90"/>
    <col min="1541" max="1541" width="10.7109375" style="90" customWidth="1"/>
    <col min="1542" max="1542" width="10.8554687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0.8554687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0.85546875" style="90"/>
    <col min="1797" max="1797" width="10.7109375" style="90" customWidth="1"/>
    <col min="1798" max="1798" width="10.8554687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0.8554687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0.85546875" style="90"/>
    <col min="2053" max="2053" width="10.7109375" style="90" customWidth="1"/>
    <col min="2054" max="2054" width="10.8554687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0.8554687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0.85546875" style="90"/>
    <col min="2309" max="2309" width="10.7109375" style="90" customWidth="1"/>
    <col min="2310" max="2310" width="10.8554687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0.8554687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0.85546875" style="90"/>
    <col min="2565" max="2565" width="10.7109375" style="90" customWidth="1"/>
    <col min="2566" max="2566" width="10.8554687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0.8554687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0.85546875" style="90"/>
    <col min="2821" max="2821" width="10.7109375" style="90" customWidth="1"/>
    <col min="2822" max="2822" width="10.8554687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0.8554687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0.85546875" style="90"/>
    <col min="3077" max="3077" width="10.7109375" style="90" customWidth="1"/>
    <col min="3078" max="3078" width="10.8554687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0.8554687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0.85546875" style="90"/>
    <col min="3333" max="3333" width="10.7109375" style="90" customWidth="1"/>
    <col min="3334" max="3334" width="10.8554687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0.8554687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0.85546875" style="90"/>
    <col min="3589" max="3589" width="10.7109375" style="90" customWidth="1"/>
    <col min="3590" max="3590" width="10.8554687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0.8554687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0.85546875" style="90"/>
    <col min="3845" max="3845" width="10.7109375" style="90" customWidth="1"/>
    <col min="3846" max="3846" width="10.8554687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0.8554687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0.85546875" style="90"/>
    <col min="4101" max="4101" width="10.7109375" style="90" customWidth="1"/>
    <col min="4102" max="4102" width="10.8554687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0.8554687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0.85546875" style="90"/>
    <col min="4357" max="4357" width="10.7109375" style="90" customWidth="1"/>
    <col min="4358" max="4358" width="10.8554687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0.8554687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0.85546875" style="90"/>
    <col min="4613" max="4613" width="10.7109375" style="90" customWidth="1"/>
    <col min="4614" max="4614" width="10.8554687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0.8554687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0.85546875" style="90"/>
    <col min="4869" max="4869" width="10.7109375" style="90" customWidth="1"/>
    <col min="4870" max="4870" width="10.8554687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0.8554687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0.85546875" style="90"/>
    <col min="5125" max="5125" width="10.7109375" style="90" customWidth="1"/>
    <col min="5126" max="5126" width="10.8554687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0.8554687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0.85546875" style="90"/>
    <col min="5381" max="5381" width="10.7109375" style="90" customWidth="1"/>
    <col min="5382" max="5382" width="10.8554687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0.8554687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0.85546875" style="90"/>
    <col min="5637" max="5637" width="10.7109375" style="90" customWidth="1"/>
    <col min="5638" max="5638" width="10.8554687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0.8554687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0.85546875" style="90"/>
    <col min="5893" max="5893" width="10.7109375" style="90" customWidth="1"/>
    <col min="5894" max="5894" width="10.8554687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0.8554687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0.85546875" style="90"/>
    <col min="6149" max="6149" width="10.7109375" style="90" customWidth="1"/>
    <col min="6150" max="6150" width="10.8554687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0.8554687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0.85546875" style="90"/>
    <col min="6405" max="6405" width="10.7109375" style="90" customWidth="1"/>
    <col min="6406" max="6406" width="10.8554687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0.8554687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0.85546875" style="90"/>
    <col min="6661" max="6661" width="10.7109375" style="90" customWidth="1"/>
    <col min="6662" max="6662" width="10.8554687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0.8554687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0.85546875" style="90"/>
    <col min="6917" max="6917" width="10.7109375" style="90" customWidth="1"/>
    <col min="6918" max="6918" width="10.8554687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0.8554687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0.85546875" style="90"/>
    <col min="7173" max="7173" width="10.7109375" style="90" customWidth="1"/>
    <col min="7174" max="7174" width="10.8554687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0.8554687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0.85546875" style="90"/>
    <col min="7429" max="7429" width="10.7109375" style="90" customWidth="1"/>
    <col min="7430" max="7430" width="10.8554687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0.8554687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0.85546875" style="90"/>
    <col min="7685" max="7685" width="10.7109375" style="90" customWidth="1"/>
    <col min="7686" max="7686" width="10.8554687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0.8554687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0.85546875" style="90"/>
    <col min="7941" max="7941" width="10.7109375" style="90" customWidth="1"/>
    <col min="7942" max="7942" width="10.8554687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0.8554687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0.85546875" style="90"/>
    <col min="8197" max="8197" width="10.7109375" style="90" customWidth="1"/>
    <col min="8198" max="8198" width="10.8554687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0.8554687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0.85546875" style="90"/>
    <col min="8453" max="8453" width="10.7109375" style="90" customWidth="1"/>
    <col min="8454" max="8454" width="10.8554687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0.8554687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0.85546875" style="90"/>
    <col min="8709" max="8709" width="10.7109375" style="90" customWidth="1"/>
    <col min="8710" max="8710" width="10.8554687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0.8554687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0.85546875" style="90"/>
    <col min="8965" max="8965" width="10.7109375" style="90" customWidth="1"/>
    <col min="8966" max="8966" width="10.8554687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0.8554687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0.85546875" style="90"/>
    <col min="9221" max="9221" width="10.7109375" style="90" customWidth="1"/>
    <col min="9222" max="9222" width="10.8554687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0.8554687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0.85546875" style="90"/>
    <col min="9477" max="9477" width="10.7109375" style="90" customWidth="1"/>
    <col min="9478" max="9478" width="10.8554687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0.8554687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0.85546875" style="90"/>
    <col min="9733" max="9733" width="10.7109375" style="90" customWidth="1"/>
    <col min="9734" max="9734" width="10.8554687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0.8554687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0.85546875" style="90"/>
    <col min="9989" max="9989" width="10.7109375" style="90" customWidth="1"/>
    <col min="9990" max="9990" width="10.8554687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0.8554687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0.85546875" style="90"/>
    <col min="10245" max="10245" width="10.7109375" style="90" customWidth="1"/>
    <col min="10246" max="10246" width="10.8554687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0.8554687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0.85546875" style="90"/>
    <col min="10501" max="10501" width="10.7109375" style="90" customWidth="1"/>
    <col min="10502" max="10502" width="10.8554687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0.8554687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0.85546875" style="90"/>
    <col min="10757" max="10757" width="10.7109375" style="90" customWidth="1"/>
    <col min="10758" max="10758" width="10.8554687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0.8554687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0.85546875" style="90"/>
    <col min="11013" max="11013" width="10.7109375" style="90" customWidth="1"/>
    <col min="11014" max="11014" width="10.8554687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0.8554687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0.85546875" style="90"/>
    <col min="11269" max="11269" width="10.7109375" style="90" customWidth="1"/>
    <col min="11270" max="11270" width="10.8554687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0.8554687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0.85546875" style="90"/>
    <col min="11525" max="11525" width="10.7109375" style="90" customWidth="1"/>
    <col min="11526" max="11526" width="10.8554687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0.8554687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0.85546875" style="90"/>
    <col min="11781" max="11781" width="10.7109375" style="90" customWidth="1"/>
    <col min="11782" max="11782" width="10.8554687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0.8554687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0.85546875" style="90"/>
    <col min="12037" max="12037" width="10.7109375" style="90" customWidth="1"/>
    <col min="12038" max="12038" width="10.8554687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0.8554687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0.85546875" style="90"/>
    <col min="12293" max="12293" width="10.7109375" style="90" customWidth="1"/>
    <col min="12294" max="12294" width="10.8554687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0.8554687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0.85546875" style="90"/>
    <col min="12549" max="12549" width="10.7109375" style="90" customWidth="1"/>
    <col min="12550" max="12550" width="10.8554687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0.8554687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0.85546875" style="90"/>
    <col min="12805" max="12805" width="10.7109375" style="90" customWidth="1"/>
    <col min="12806" max="12806" width="10.8554687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0.8554687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0.85546875" style="90"/>
    <col min="13061" max="13061" width="10.7109375" style="90" customWidth="1"/>
    <col min="13062" max="13062" width="10.8554687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0.8554687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0.85546875" style="90"/>
    <col min="13317" max="13317" width="10.7109375" style="90" customWidth="1"/>
    <col min="13318" max="13318" width="10.8554687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0.8554687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0.85546875" style="90"/>
    <col min="13573" max="13573" width="10.7109375" style="90" customWidth="1"/>
    <col min="13574" max="13574" width="10.8554687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0.8554687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0.85546875" style="90"/>
    <col min="13829" max="13829" width="10.7109375" style="90" customWidth="1"/>
    <col min="13830" max="13830" width="10.8554687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0.8554687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0.85546875" style="90"/>
    <col min="14085" max="14085" width="10.7109375" style="90" customWidth="1"/>
    <col min="14086" max="14086" width="10.8554687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0.8554687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0.85546875" style="90"/>
    <col min="14341" max="14341" width="10.7109375" style="90" customWidth="1"/>
    <col min="14342" max="14342" width="10.8554687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0.8554687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0.85546875" style="90"/>
    <col min="14597" max="14597" width="10.7109375" style="90" customWidth="1"/>
    <col min="14598" max="14598" width="10.8554687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0.8554687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0.85546875" style="90"/>
    <col min="14853" max="14853" width="10.7109375" style="90" customWidth="1"/>
    <col min="14854" max="14854" width="10.8554687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0.8554687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0.85546875" style="90"/>
    <col min="15109" max="15109" width="10.7109375" style="90" customWidth="1"/>
    <col min="15110" max="15110" width="10.8554687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0.8554687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0.85546875" style="90"/>
    <col min="15365" max="15365" width="10.7109375" style="90" customWidth="1"/>
    <col min="15366" max="15366" width="10.8554687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0.8554687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0.85546875" style="90"/>
    <col min="15621" max="15621" width="10.7109375" style="90" customWidth="1"/>
    <col min="15622" max="15622" width="10.8554687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0.8554687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0.85546875" style="90"/>
    <col min="15877" max="15877" width="10.7109375" style="90" customWidth="1"/>
    <col min="15878" max="15878" width="10.8554687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0.8554687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0.85546875" style="90"/>
    <col min="16133" max="16133" width="10.7109375" style="90" customWidth="1"/>
    <col min="16134" max="16134" width="10.8554687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0.85546875" style="90"/>
  </cols>
  <sheetData>
    <row r="5" spans="4:22" ht="6.75" customHeight="1" thickBot="1" x14ac:dyDescent="0.25"/>
    <row r="6" spans="4:22" ht="39" customHeight="1" thickTop="1" thickBot="1" x14ac:dyDescent="0.3">
      <c r="D6" s="1757" t="s">
        <v>159</v>
      </c>
      <c r="E6" s="1758"/>
      <c r="F6" s="1758"/>
      <c r="G6" s="1758"/>
      <c r="H6" s="1758"/>
      <c r="I6" s="1759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1089</v>
      </c>
      <c r="R6" s="125" t="s">
        <v>163</v>
      </c>
      <c r="S6" s="126"/>
      <c r="T6" s="358" t="s">
        <v>299</v>
      </c>
      <c r="U6" s="361"/>
      <c r="V6" s="126"/>
    </row>
    <row r="7" spans="4:22" ht="21" thickBot="1" x14ac:dyDescent="0.35">
      <c r="D7" s="1760" t="s">
        <v>0</v>
      </c>
      <c r="E7" s="1761"/>
      <c r="F7" s="1748">
        <f>$O7/$M7/DATOS!C26</f>
        <v>401.44819865319863</v>
      </c>
      <c r="G7" s="1749"/>
      <c r="H7" s="1749"/>
      <c r="I7" s="1750"/>
      <c r="K7" s="127"/>
      <c r="L7" s="128"/>
      <c r="M7" s="129">
        <f>DATOS!D22</f>
        <v>18</v>
      </c>
      <c r="N7" s="130">
        <f t="shared" ref="N7:N18" si="0">O7/M7</f>
        <v>13247.790555555555</v>
      </c>
      <c r="O7" s="135">
        <f>DATOS!C3</f>
        <v>238460.23</v>
      </c>
      <c r="P7" s="1110">
        <f>DATOS!C5</f>
        <v>60723.23</v>
      </c>
      <c r="Q7" s="131" t="s">
        <v>0</v>
      </c>
      <c r="R7" s="132">
        <f t="shared" ref="R7:R18" si="1">P7/O7</f>
        <v>0.25464720049963885</v>
      </c>
      <c r="S7" s="133"/>
      <c r="T7" s="360">
        <f>SUM(DATOS!C$6+DATOS!C$11+DATOS!C$12+DATOS!$C13+DATOS!C$15+DATOS!C$16)/DATOS!C$22</f>
        <v>8219.1975000000002</v>
      </c>
      <c r="U7" s="136"/>
      <c r="V7" s="133"/>
    </row>
    <row r="8" spans="4:22" ht="21" thickBot="1" x14ac:dyDescent="0.35">
      <c r="D8" s="1762" t="s">
        <v>1</v>
      </c>
      <c r="E8" s="1763"/>
      <c r="F8" s="1748">
        <f>$O8/$M8/DATOS!E26</f>
        <v>314.11705109489048</v>
      </c>
      <c r="G8" s="1749"/>
      <c r="H8" s="1749"/>
      <c r="I8" s="1750"/>
      <c r="K8" s="127"/>
      <c r="L8" s="128"/>
      <c r="M8" s="129">
        <f>DATOS!F22</f>
        <v>20</v>
      </c>
      <c r="N8" s="134">
        <f t="shared" si="0"/>
        <v>10758.509</v>
      </c>
      <c r="O8" s="135">
        <f>DATOS!E3</f>
        <v>215170.18</v>
      </c>
      <c r="P8" s="1110">
        <f>DATOS!E5</f>
        <v>5748.0199999999859</v>
      </c>
      <c r="Q8" s="131" t="s">
        <v>1</v>
      </c>
      <c r="R8" s="132">
        <f t="shared" si="1"/>
        <v>2.6713831814427009E-2</v>
      </c>
      <c r="S8" s="136"/>
      <c r="T8" s="357">
        <f>SUM(DATOS!E6+DATOS!E11+DATOS!E12+DATOS!E13+DATOS!E15+DATOS!E16)/DATOS!E22</f>
        <v>9693.3920000000016</v>
      </c>
      <c r="U8" s="136"/>
      <c r="V8" s="136"/>
    </row>
    <row r="9" spans="4:22" ht="21" thickBot="1" x14ac:dyDescent="0.35">
      <c r="D9" s="1755" t="s">
        <v>2</v>
      </c>
      <c r="E9" s="1756"/>
      <c r="F9" s="1748">
        <f>$O9/$M9/DATOS!G26</f>
        <v>338.61758569299559</v>
      </c>
      <c r="G9" s="1749"/>
      <c r="H9" s="1749"/>
      <c r="I9" s="1750"/>
      <c r="K9" s="127"/>
      <c r="L9" s="128"/>
      <c r="M9" s="129">
        <f>DATOS!H22</f>
        <v>22</v>
      </c>
      <c r="N9" s="137">
        <f t="shared" si="0"/>
        <v>11360.62</v>
      </c>
      <c r="O9" s="135">
        <f>DATOS!G3</f>
        <v>249933.64</v>
      </c>
      <c r="P9" s="1110">
        <f>DATOS!G5</f>
        <v>70268.270000000019</v>
      </c>
      <c r="Q9" s="131" t="s">
        <v>2</v>
      </c>
      <c r="R9" s="132">
        <f t="shared" si="1"/>
        <v>0.28114770784757109</v>
      </c>
      <c r="S9" s="136"/>
      <c r="T9" s="357">
        <f>SUM(DATOS!G6+DATOS!G11+DATOS!G12+DATOS!G13+DATOS!G15+DATOS!G16)/DATOS!G22</f>
        <v>7356.7636363636375</v>
      </c>
      <c r="U9" s="136"/>
      <c r="V9" s="136"/>
    </row>
    <row r="10" spans="4:22" ht="21" thickBot="1" x14ac:dyDescent="0.35">
      <c r="D10" s="1746" t="s">
        <v>3</v>
      </c>
      <c r="E10" s="1747"/>
      <c r="F10" s="1748">
        <f>$O10/$M10/DATOS!I26</f>
        <v>334.26568750000001</v>
      </c>
      <c r="G10" s="1749"/>
      <c r="H10" s="1749"/>
      <c r="I10" s="1750"/>
      <c r="K10" s="127"/>
      <c r="L10" s="128"/>
      <c r="M10" s="129">
        <f>DATOS!J22</f>
        <v>20</v>
      </c>
      <c r="N10" s="138">
        <f t="shared" si="0"/>
        <v>10696.502</v>
      </c>
      <c r="O10" s="135">
        <f>DATOS!I3</f>
        <v>213930.04</v>
      </c>
      <c r="P10" s="1303">
        <f>DATOS!I5</f>
        <v>-3593.0200000000086</v>
      </c>
      <c r="Q10" s="131" t="s">
        <v>3</v>
      </c>
      <c r="R10" s="132">
        <f t="shared" si="1"/>
        <v>-1.6795303735744678E-2</v>
      </c>
      <c r="S10" s="136"/>
      <c r="T10" s="357">
        <f>SUM(DATOS!I6+DATOS!I11+DATOS!I12+DATOS!I13+DATOS!I15+DATOS!I16)/DATOS!I22</f>
        <v>10050.459500000001</v>
      </c>
      <c r="U10" s="136"/>
      <c r="V10" s="136"/>
    </row>
    <row r="11" spans="4:22" ht="21" thickBot="1" x14ac:dyDescent="0.35">
      <c r="D11" s="1751" t="s">
        <v>4</v>
      </c>
      <c r="E11" s="1752"/>
      <c r="F11" s="1748">
        <f>$O11/$M11/DATOS!K26</f>
        <v>381.59621513944228</v>
      </c>
      <c r="G11" s="1749"/>
      <c r="H11" s="1749"/>
      <c r="I11" s="1750"/>
      <c r="K11" s="127"/>
      <c r="L11" s="128"/>
      <c r="M11" s="129">
        <f>DATOS!L22</f>
        <v>20</v>
      </c>
      <c r="N11" s="139">
        <f t="shared" si="0"/>
        <v>12451.4845</v>
      </c>
      <c r="O11" s="135">
        <f>DATOS!K3</f>
        <v>249029.69</v>
      </c>
      <c r="P11" s="1110">
        <f>DATOS!K5</f>
        <v>37184.769999999968</v>
      </c>
      <c r="Q11" s="131" t="s">
        <v>4</v>
      </c>
      <c r="R11" s="132">
        <f t="shared" si="1"/>
        <v>0.14931862140614627</v>
      </c>
      <c r="S11" s="136"/>
      <c r="T11" s="357">
        <f>SUM(DATOS!K6+DATOS!K11+DATOS!K12+DATOS!K13+DATOS!K15+DATOS!K16)/DATOS!K22</f>
        <v>9151.9235000000008</v>
      </c>
      <c r="U11" s="136"/>
      <c r="V11" s="136"/>
    </row>
    <row r="12" spans="4:22" ht="21" thickBot="1" x14ac:dyDescent="0.35">
      <c r="D12" s="1753" t="s">
        <v>5</v>
      </c>
      <c r="E12" s="1754"/>
      <c r="F12" s="1733">
        <f>$O12/$M12/DATOS!M26</f>
        <v>391.30895479187365</v>
      </c>
      <c r="G12" s="1734"/>
      <c r="H12" s="1734"/>
      <c r="I12" s="1735"/>
      <c r="K12" s="127"/>
      <c r="L12" s="128"/>
      <c r="M12" s="129">
        <f>DATOS!N22</f>
        <v>22</v>
      </c>
      <c r="N12" s="140">
        <f t="shared" si="0"/>
        <v>13642.20409090909</v>
      </c>
      <c r="O12" s="135">
        <f>DATOS!M3</f>
        <v>300128.49</v>
      </c>
      <c r="P12" s="1110">
        <f>DATOS!M5</f>
        <v>92431.730000000025</v>
      </c>
      <c r="Q12" s="131" t="s">
        <v>5</v>
      </c>
      <c r="R12" s="132">
        <f t="shared" si="1"/>
        <v>0.30797386146180267</v>
      </c>
      <c r="S12" s="136"/>
      <c r="T12" s="357">
        <f>SUM(DATOS!M6+DATOS!M11+DATOS!M12+DATOS!M13+DATOS!M15+DATOS!M16)/DATOS!M22</f>
        <v>8279.170454545454</v>
      </c>
      <c r="U12" s="136"/>
      <c r="V12" s="136"/>
    </row>
    <row r="13" spans="4:22" ht="21" thickBot="1" x14ac:dyDescent="0.35">
      <c r="D13" s="1740" t="s">
        <v>6</v>
      </c>
      <c r="E13" s="1741"/>
      <c r="F13" s="1733">
        <f>$O13/$M13/DATOS!O26</f>
        <v>375.98388975155274</v>
      </c>
      <c r="G13" s="1734"/>
      <c r="H13" s="1734"/>
      <c r="I13" s="1735"/>
      <c r="K13" s="127"/>
      <c r="L13" s="128"/>
      <c r="M13" s="129">
        <f>DATOS!P22</f>
        <v>23</v>
      </c>
      <c r="N13" s="141">
        <f t="shared" si="0"/>
        <v>14317.46652173913</v>
      </c>
      <c r="O13" s="135">
        <f>DATOS!O3</f>
        <v>329301.73</v>
      </c>
      <c r="P13" s="1111">
        <f>DATOS!O5</f>
        <v>53142.069999999992</v>
      </c>
      <c r="Q13" s="131" t="s">
        <v>6</v>
      </c>
      <c r="R13" s="132">
        <f t="shared" si="1"/>
        <v>0.16137804681439116</v>
      </c>
      <c r="S13" s="136"/>
      <c r="T13" s="357">
        <f>SUM(DATOS!O6+DATOS!O11+DATOS!O12+DATOS!O13+DATOS!O15+DATOS!O16)/DATOS!O22</f>
        <v>9597.6813043478269</v>
      </c>
      <c r="U13" s="136"/>
      <c r="V13" s="136"/>
    </row>
    <row r="14" spans="4:22" ht="21" thickBot="1" x14ac:dyDescent="0.35">
      <c r="D14" s="1742" t="s">
        <v>7</v>
      </c>
      <c r="E14" s="1743"/>
      <c r="F14" s="1733">
        <f>$O14/$M14/DATOS!Q26</f>
        <v>76.693574603174596</v>
      </c>
      <c r="G14" s="1734"/>
      <c r="H14" s="1734"/>
      <c r="I14" s="1735"/>
      <c r="K14" s="127"/>
      <c r="L14" s="128"/>
      <c r="M14" s="129">
        <f>DATOS!R22</f>
        <v>21</v>
      </c>
      <c r="N14" s="142">
        <f t="shared" si="0"/>
        <v>2876.0090476190476</v>
      </c>
      <c r="O14" s="135">
        <f>DATOS!Q3</f>
        <v>60396.19</v>
      </c>
      <c r="P14" s="1303">
        <f>DATOS!Q5</f>
        <v>-20804.529999999995</v>
      </c>
      <c r="Q14" s="131" t="s">
        <v>7</v>
      </c>
      <c r="R14" s="132">
        <f t="shared" si="1"/>
        <v>-0.34446758976021491</v>
      </c>
      <c r="S14" s="143"/>
      <c r="T14" s="357">
        <f>SUM(DATOS!Q6+DATOS!Q11+DATOS!Q12+DATOS!Q13+DATOS!Q15+DATOS!Q16)/DATOS!Q22</f>
        <v>6913.8431578947375</v>
      </c>
      <c r="U14" s="136"/>
      <c r="V14" s="143"/>
    </row>
    <row r="15" spans="4:22" ht="21" thickBot="1" x14ac:dyDescent="0.35">
      <c r="D15" s="1744" t="s">
        <v>8</v>
      </c>
      <c r="E15" s="1745"/>
      <c r="F15" s="1733">
        <f>$O15/$M15/DATOS!S26</f>
        <v>337.30786304604487</v>
      </c>
      <c r="G15" s="1734"/>
      <c r="H15" s="1734"/>
      <c r="I15" s="1735"/>
      <c r="K15" s="127"/>
      <c r="L15" s="128"/>
      <c r="M15" s="129">
        <f>DATOS!T22</f>
        <v>22</v>
      </c>
      <c r="N15" s="144">
        <f t="shared" si="0"/>
        <v>12986.352727272728</v>
      </c>
      <c r="O15" s="135">
        <f>DATOS!S3</f>
        <v>285699.76</v>
      </c>
      <c r="P15" s="1110">
        <f>DATOS!S5</f>
        <v>72494.370000000024</v>
      </c>
      <c r="Q15" s="131" t="s">
        <v>8</v>
      </c>
      <c r="R15" s="132">
        <f t="shared" si="1"/>
        <v>0.25374319530404932</v>
      </c>
      <c r="S15" s="145"/>
      <c r="T15" s="357">
        <f>SUM(DATOS!S6+DATOS!S11+DATOS!S12+DATOS!S13+DATOS!S15+DATOS!S16)/DATOS!S22</f>
        <v>7992.4709090909082</v>
      </c>
      <c r="U15" s="136"/>
      <c r="V15" s="145"/>
    </row>
    <row r="16" spans="4:22" ht="21" thickBot="1" x14ac:dyDescent="0.35">
      <c r="D16" s="1731" t="s">
        <v>9</v>
      </c>
      <c r="E16" s="1732"/>
      <c r="F16" s="1733">
        <f>$O16/$M16/DATOS!U26</f>
        <v>210.24088609802897</v>
      </c>
      <c r="G16" s="1734"/>
      <c r="H16" s="1734"/>
      <c r="I16" s="1735"/>
      <c r="K16" s="127"/>
      <c r="L16" s="128"/>
      <c r="M16" s="129">
        <f>DATOS!V22</f>
        <v>21</v>
      </c>
      <c r="N16" s="146">
        <f t="shared" si="0"/>
        <v>8035.4066666666668</v>
      </c>
      <c r="O16" s="135">
        <f>DATOS!V3</f>
        <v>168743.54</v>
      </c>
      <c r="P16" s="1111">
        <f>DATOS!U5</f>
        <v>72960.130000000019</v>
      </c>
      <c r="Q16" s="131" t="s">
        <v>9</v>
      </c>
      <c r="R16" s="132">
        <f t="shared" si="1"/>
        <v>0.43237287780024064</v>
      </c>
      <c r="S16" s="136"/>
      <c r="T16" s="357">
        <f>SUM(DATOS!U6+DATOS!U11+DATOS!U12+DATOS!U13+DATOS!U15+DATOS!U16)/DATOS!U22</f>
        <v>7644.6804761904768</v>
      </c>
      <c r="U16" s="136"/>
      <c r="V16" s="136"/>
    </row>
    <row r="17" spans="4:22" ht="21" thickBot="1" x14ac:dyDescent="0.35">
      <c r="D17" s="1736" t="s">
        <v>10</v>
      </c>
      <c r="E17" s="1737"/>
      <c r="F17" s="1733">
        <f>$O17/$M17/DATOS!W26</f>
        <v>195.53877189654085</v>
      </c>
      <c r="G17" s="1734"/>
      <c r="H17" s="1734"/>
      <c r="I17" s="1735"/>
      <c r="K17" s="127"/>
      <c r="L17" s="128"/>
      <c r="M17" s="129">
        <f>DATOS!X22</f>
        <v>21</v>
      </c>
      <c r="N17" s="147">
        <f t="shared" si="0"/>
        <v>7362.0347619047625</v>
      </c>
      <c r="O17" s="135">
        <f>DATOS!X3</f>
        <v>154602.73000000001</v>
      </c>
      <c r="P17" s="148">
        <f>DATOS!W5</f>
        <v>798.35000000002947</v>
      </c>
      <c r="Q17" s="131" t="s">
        <v>10</v>
      </c>
      <c r="R17" s="132">
        <f t="shared" si="1"/>
        <v>5.1638803532125816E-3</v>
      </c>
      <c r="S17" s="136"/>
      <c r="T17" s="357">
        <f>SUM(DATOS!W6+DATOS!W11+DATOS!W12+DATOS!W13+DATOS!W15+DATOS!W16)/DATOS!W22</f>
        <v>8942.9955000000009</v>
      </c>
      <c r="U17" s="136"/>
      <c r="V17" s="136"/>
    </row>
    <row r="18" spans="4:22" ht="20.45" customHeight="1" thickBot="1" x14ac:dyDescent="0.35">
      <c r="D18" s="1738" t="s">
        <v>11</v>
      </c>
      <c r="E18" s="1739"/>
      <c r="F18" s="1733">
        <f>$O18/$M18/DATOS!Y26</f>
        <v>66.489533622559648</v>
      </c>
      <c r="G18" s="1734"/>
      <c r="H18" s="1734"/>
      <c r="I18" s="1735"/>
      <c r="K18" s="127"/>
      <c r="L18" s="128"/>
      <c r="M18" s="129">
        <f>DATOS!Z22</f>
        <v>20</v>
      </c>
      <c r="N18" s="359">
        <f t="shared" si="0"/>
        <v>2452.134</v>
      </c>
      <c r="O18" s="135">
        <f>DATOS!Z3</f>
        <v>49042.68</v>
      </c>
      <c r="P18" s="148">
        <f>DATOS!Y5</f>
        <v>12600.690000000015</v>
      </c>
      <c r="Q18" s="131" t="s">
        <v>11</v>
      </c>
      <c r="R18" s="132">
        <f t="shared" si="1"/>
        <v>0.25693314476288848</v>
      </c>
      <c r="S18" s="136"/>
      <c r="T18" s="357">
        <f>SUM(DATOS!Y6+DATOS!Y11+DATOS!Y12+DATOS!Y13+DATOS!Y15+DATOS!Y16)/DATOS!Y22</f>
        <v>8579.6547619047633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250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728" t="s">
        <v>164</v>
      </c>
      <c r="E21" s="1729"/>
      <c r="F21" s="1730">
        <f>O21/M19/DATOS!AB26</f>
        <v>1418.5833004231313</v>
      </c>
      <c r="G21" s="1730"/>
      <c r="H21" s="1730"/>
      <c r="I21" s="1730"/>
      <c r="K21" s="157"/>
      <c r="L21" s="158"/>
      <c r="N21" s="159">
        <f>O21/M19</f>
        <v>10057.755600000002</v>
      </c>
      <c r="O21" s="160">
        <f>SUM(O7:O18)</f>
        <v>2514438.9000000004</v>
      </c>
      <c r="P21" s="668">
        <f>SUM(P7:P18)</f>
        <v>453954.08000000007</v>
      </c>
      <c r="Q21" s="161" t="s">
        <v>158</v>
      </c>
      <c r="R21" s="162">
        <f>P21/O21</f>
        <v>0.180538918643042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9:E9"/>
    <mergeCell ref="F9:I9"/>
    <mergeCell ref="D6:I6"/>
    <mergeCell ref="D7:E7"/>
    <mergeCell ref="F7:I7"/>
    <mergeCell ref="D8:E8"/>
    <mergeCell ref="F8:I8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21:E21"/>
    <mergeCell ref="F21:I21"/>
    <mergeCell ref="D16:E16"/>
    <mergeCell ref="F16:I16"/>
    <mergeCell ref="D17:E17"/>
    <mergeCell ref="F17:I17"/>
    <mergeCell ref="D18:E18"/>
    <mergeCell ref="F18:I18"/>
  </mergeCells>
  <pageMargins left="0.75" right="0.75" top="1" bottom="1" header="0" footer="0"/>
  <pageSetup paperSize="9" scale="93" orientation="landscape" r:id="rId1"/>
  <headerFooter alignWithMargins="0"/>
  <ignoredErrors>
    <ignoredError sqref="R11:R18 N12:N18" evalErro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D5:V31"/>
  <sheetViews>
    <sheetView topLeftCell="A4" workbookViewId="0">
      <selection activeCell="P18" sqref="P18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1.42578125" style="90"/>
    <col min="5" max="5" width="12" style="90" customWidth="1"/>
    <col min="6" max="6" width="11.4257812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5.14062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1.4257812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1.42578125" style="90"/>
    <col min="261" max="261" width="10.7109375" style="90" customWidth="1"/>
    <col min="262" max="262" width="11.4257812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1.4257812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1.42578125" style="90"/>
    <col min="517" max="517" width="10.7109375" style="90" customWidth="1"/>
    <col min="518" max="518" width="11.4257812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1.4257812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1.42578125" style="90"/>
    <col min="773" max="773" width="10.7109375" style="90" customWidth="1"/>
    <col min="774" max="774" width="11.4257812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1.4257812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1.42578125" style="90"/>
    <col min="1029" max="1029" width="10.7109375" style="90" customWidth="1"/>
    <col min="1030" max="1030" width="11.4257812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1.4257812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1.42578125" style="90"/>
    <col min="1285" max="1285" width="10.7109375" style="90" customWidth="1"/>
    <col min="1286" max="1286" width="11.4257812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1.4257812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1.42578125" style="90"/>
    <col min="1541" max="1541" width="10.7109375" style="90" customWidth="1"/>
    <col min="1542" max="1542" width="11.4257812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1.4257812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1.42578125" style="90"/>
    <col min="1797" max="1797" width="10.7109375" style="90" customWidth="1"/>
    <col min="1798" max="1798" width="11.4257812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1.4257812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1.42578125" style="90"/>
    <col min="2053" max="2053" width="10.7109375" style="90" customWidth="1"/>
    <col min="2054" max="2054" width="11.4257812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1.4257812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1.42578125" style="90"/>
    <col min="2309" max="2309" width="10.7109375" style="90" customWidth="1"/>
    <col min="2310" max="2310" width="11.4257812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1.4257812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1.42578125" style="90"/>
    <col min="2565" max="2565" width="10.7109375" style="90" customWidth="1"/>
    <col min="2566" max="2566" width="11.4257812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1.4257812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1.42578125" style="90"/>
    <col min="2821" max="2821" width="10.7109375" style="90" customWidth="1"/>
    <col min="2822" max="2822" width="11.4257812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1.4257812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1.42578125" style="90"/>
    <col min="3077" max="3077" width="10.7109375" style="90" customWidth="1"/>
    <col min="3078" max="3078" width="11.4257812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1.4257812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1.42578125" style="90"/>
    <col min="3333" max="3333" width="10.7109375" style="90" customWidth="1"/>
    <col min="3334" max="3334" width="11.4257812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1.4257812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1.42578125" style="90"/>
    <col min="3589" max="3589" width="10.7109375" style="90" customWidth="1"/>
    <col min="3590" max="3590" width="11.4257812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1.4257812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1.42578125" style="90"/>
    <col min="3845" max="3845" width="10.7109375" style="90" customWidth="1"/>
    <col min="3846" max="3846" width="11.4257812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1.4257812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1.42578125" style="90"/>
    <col min="4101" max="4101" width="10.7109375" style="90" customWidth="1"/>
    <col min="4102" max="4102" width="11.4257812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1.4257812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1.42578125" style="90"/>
    <col min="4357" max="4357" width="10.7109375" style="90" customWidth="1"/>
    <col min="4358" max="4358" width="11.4257812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1.4257812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1.42578125" style="90"/>
    <col min="4613" max="4613" width="10.7109375" style="90" customWidth="1"/>
    <col min="4614" max="4614" width="11.4257812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1.4257812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1.42578125" style="90"/>
    <col min="4869" max="4869" width="10.7109375" style="90" customWidth="1"/>
    <col min="4870" max="4870" width="11.4257812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1.4257812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1.42578125" style="90"/>
    <col min="5125" max="5125" width="10.7109375" style="90" customWidth="1"/>
    <col min="5126" max="5126" width="11.4257812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1.4257812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1.42578125" style="90"/>
    <col min="5381" max="5381" width="10.7109375" style="90" customWidth="1"/>
    <col min="5382" max="5382" width="11.4257812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1.4257812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1.42578125" style="90"/>
    <col min="5637" max="5637" width="10.7109375" style="90" customWidth="1"/>
    <col min="5638" max="5638" width="11.4257812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1.4257812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1.42578125" style="90"/>
    <col min="5893" max="5893" width="10.7109375" style="90" customWidth="1"/>
    <col min="5894" max="5894" width="11.4257812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1.4257812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1.42578125" style="90"/>
    <col min="6149" max="6149" width="10.7109375" style="90" customWidth="1"/>
    <col min="6150" max="6150" width="11.4257812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1.4257812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1.42578125" style="90"/>
    <col min="6405" max="6405" width="10.7109375" style="90" customWidth="1"/>
    <col min="6406" max="6406" width="11.4257812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1.4257812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1.42578125" style="90"/>
    <col min="6661" max="6661" width="10.7109375" style="90" customWidth="1"/>
    <col min="6662" max="6662" width="11.4257812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1.4257812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1.42578125" style="90"/>
    <col min="6917" max="6917" width="10.7109375" style="90" customWidth="1"/>
    <col min="6918" max="6918" width="11.4257812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1.4257812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1.42578125" style="90"/>
    <col min="7173" max="7173" width="10.7109375" style="90" customWidth="1"/>
    <col min="7174" max="7174" width="11.4257812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1.4257812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1.42578125" style="90"/>
    <col min="7429" max="7429" width="10.7109375" style="90" customWidth="1"/>
    <col min="7430" max="7430" width="11.4257812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1.4257812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1.42578125" style="90"/>
    <col min="7685" max="7685" width="10.7109375" style="90" customWidth="1"/>
    <col min="7686" max="7686" width="11.4257812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1.4257812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1.42578125" style="90"/>
    <col min="7941" max="7941" width="10.7109375" style="90" customWidth="1"/>
    <col min="7942" max="7942" width="11.4257812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1.4257812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1.42578125" style="90"/>
    <col min="8197" max="8197" width="10.7109375" style="90" customWidth="1"/>
    <col min="8198" max="8198" width="11.4257812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1.4257812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1.42578125" style="90"/>
    <col min="8453" max="8453" width="10.7109375" style="90" customWidth="1"/>
    <col min="8454" max="8454" width="11.4257812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1.4257812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1.42578125" style="90"/>
    <col min="8709" max="8709" width="10.7109375" style="90" customWidth="1"/>
    <col min="8710" max="8710" width="11.4257812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1.4257812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1.42578125" style="90"/>
    <col min="8965" max="8965" width="10.7109375" style="90" customWidth="1"/>
    <col min="8966" max="8966" width="11.4257812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1.4257812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1.42578125" style="90"/>
    <col min="9221" max="9221" width="10.7109375" style="90" customWidth="1"/>
    <col min="9222" max="9222" width="11.4257812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1.4257812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1.42578125" style="90"/>
    <col min="9477" max="9477" width="10.7109375" style="90" customWidth="1"/>
    <col min="9478" max="9478" width="11.4257812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1.4257812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1.42578125" style="90"/>
    <col min="9733" max="9733" width="10.7109375" style="90" customWidth="1"/>
    <col min="9734" max="9734" width="11.4257812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1.4257812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1.42578125" style="90"/>
    <col min="9989" max="9989" width="10.7109375" style="90" customWidth="1"/>
    <col min="9990" max="9990" width="11.4257812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1.4257812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1.42578125" style="90"/>
    <col min="10245" max="10245" width="10.7109375" style="90" customWidth="1"/>
    <col min="10246" max="10246" width="11.4257812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1.4257812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1.42578125" style="90"/>
    <col min="10501" max="10501" width="10.7109375" style="90" customWidth="1"/>
    <col min="10502" max="10502" width="11.4257812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1.4257812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1.42578125" style="90"/>
    <col min="10757" max="10757" width="10.7109375" style="90" customWidth="1"/>
    <col min="10758" max="10758" width="11.4257812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1.4257812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1.42578125" style="90"/>
    <col min="11013" max="11013" width="10.7109375" style="90" customWidth="1"/>
    <col min="11014" max="11014" width="11.4257812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1.4257812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1.42578125" style="90"/>
    <col min="11269" max="11269" width="10.7109375" style="90" customWidth="1"/>
    <col min="11270" max="11270" width="11.4257812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1.4257812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1.42578125" style="90"/>
    <col min="11525" max="11525" width="10.7109375" style="90" customWidth="1"/>
    <col min="11526" max="11526" width="11.4257812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1.4257812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1.42578125" style="90"/>
    <col min="11781" max="11781" width="10.7109375" style="90" customWidth="1"/>
    <col min="11782" max="11782" width="11.4257812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1.4257812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1.42578125" style="90"/>
    <col min="12037" max="12037" width="10.7109375" style="90" customWidth="1"/>
    <col min="12038" max="12038" width="11.4257812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1.4257812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1.42578125" style="90"/>
    <col min="12293" max="12293" width="10.7109375" style="90" customWidth="1"/>
    <col min="12294" max="12294" width="11.4257812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1.4257812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1.42578125" style="90"/>
    <col min="12549" max="12549" width="10.7109375" style="90" customWidth="1"/>
    <col min="12550" max="12550" width="11.4257812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1.4257812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1.42578125" style="90"/>
    <col min="12805" max="12805" width="10.7109375" style="90" customWidth="1"/>
    <col min="12806" max="12806" width="11.4257812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1.4257812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1.42578125" style="90"/>
    <col min="13061" max="13061" width="10.7109375" style="90" customWidth="1"/>
    <col min="13062" max="13062" width="11.4257812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1.4257812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1.42578125" style="90"/>
    <col min="13317" max="13317" width="10.7109375" style="90" customWidth="1"/>
    <col min="13318" max="13318" width="11.4257812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1.4257812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1.42578125" style="90"/>
    <col min="13573" max="13573" width="10.7109375" style="90" customWidth="1"/>
    <col min="13574" max="13574" width="11.4257812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1.4257812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1.42578125" style="90"/>
    <col min="13829" max="13829" width="10.7109375" style="90" customWidth="1"/>
    <col min="13830" max="13830" width="11.4257812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1.4257812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1.42578125" style="90"/>
    <col min="14085" max="14085" width="10.7109375" style="90" customWidth="1"/>
    <col min="14086" max="14086" width="11.4257812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1.4257812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1.42578125" style="90"/>
    <col min="14341" max="14341" width="10.7109375" style="90" customWidth="1"/>
    <col min="14342" max="14342" width="11.4257812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1.4257812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1.42578125" style="90"/>
    <col min="14597" max="14597" width="10.7109375" style="90" customWidth="1"/>
    <col min="14598" max="14598" width="11.4257812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1.4257812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1.42578125" style="90"/>
    <col min="14853" max="14853" width="10.7109375" style="90" customWidth="1"/>
    <col min="14854" max="14854" width="11.4257812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1.4257812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1.42578125" style="90"/>
    <col min="15109" max="15109" width="10.7109375" style="90" customWidth="1"/>
    <col min="15110" max="15110" width="11.4257812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1.4257812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1.42578125" style="90"/>
    <col min="15365" max="15365" width="10.7109375" style="90" customWidth="1"/>
    <col min="15366" max="15366" width="11.4257812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1.4257812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1.42578125" style="90"/>
    <col min="15621" max="15621" width="10.7109375" style="90" customWidth="1"/>
    <col min="15622" max="15622" width="11.4257812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1.4257812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1.42578125" style="90"/>
    <col min="15877" max="15877" width="10.7109375" style="90" customWidth="1"/>
    <col min="15878" max="15878" width="11.4257812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1.4257812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1.42578125" style="90"/>
    <col min="16133" max="16133" width="10.7109375" style="90" customWidth="1"/>
    <col min="16134" max="16134" width="11.4257812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1.42578125" style="90"/>
  </cols>
  <sheetData>
    <row r="5" spans="4:22" ht="6.75" customHeight="1" thickBot="1" x14ac:dyDescent="0.25"/>
    <row r="6" spans="4:22" ht="39" customHeight="1" thickTop="1" thickBot="1" x14ac:dyDescent="0.3">
      <c r="D6" s="1757" t="s">
        <v>159</v>
      </c>
      <c r="E6" s="1758"/>
      <c r="F6" s="1758"/>
      <c r="G6" s="1758"/>
      <c r="H6" s="1758"/>
      <c r="I6" s="1759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841</v>
      </c>
      <c r="R6" s="125" t="s">
        <v>163</v>
      </c>
      <c r="S6" s="126"/>
      <c r="T6" s="358" t="s">
        <v>299</v>
      </c>
      <c r="U6" s="361"/>
      <c r="V6" s="126"/>
    </row>
    <row r="7" spans="4:22" ht="21" thickBot="1" x14ac:dyDescent="0.35">
      <c r="D7" s="1760" t="s">
        <v>0</v>
      </c>
      <c r="E7" s="1761"/>
      <c r="F7" s="1748">
        <f>$O7/$M7/DATOS!D26</f>
        <v>744.37822222222212</v>
      </c>
      <c r="G7" s="1749"/>
      <c r="H7" s="1749"/>
      <c r="I7" s="1750"/>
      <c r="K7" s="127"/>
      <c r="L7" s="128"/>
      <c r="M7" s="129">
        <f>DATOS!D22</f>
        <v>18</v>
      </c>
      <c r="N7" s="130">
        <f t="shared" ref="N7:N18" si="0">O7/M7</f>
        <v>5582.8366666666661</v>
      </c>
      <c r="O7" s="135">
        <f>DATOS!D3</f>
        <v>100491.06</v>
      </c>
      <c r="P7" s="1110">
        <f>DATOS!D5</f>
        <v>1012.2199999999898</v>
      </c>
      <c r="Q7" s="131" t="s">
        <v>0</v>
      </c>
      <c r="R7" s="132">
        <f t="shared" ref="R7:R18" si="1">P7/O7</f>
        <v>1.0072736818578586E-2</v>
      </c>
      <c r="S7" s="133"/>
      <c r="T7" s="360">
        <f>SUM(DATOS!D$6+DATOS!D$11+DATOS!D$12+DATOS!$D13+DATOS!D$15+DATOS!D$16)/DATOS!D$22</f>
        <v>4042.3355555555554</v>
      </c>
      <c r="U7" s="136"/>
      <c r="V7" s="133"/>
    </row>
    <row r="8" spans="4:22" ht="21" thickBot="1" x14ac:dyDescent="0.35">
      <c r="D8" s="1762" t="s">
        <v>1</v>
      </c>
      <c r="E8" s="1763"/>
      <c r="F8" s="1748">
        <f>$O8/$M8/DATOS!F26</f>
        <v>938.86273333333338</v>
      </c>
      <c r="G8" s="1749"/>
      <c r="H8" s="1749"/>
      <c r="I8" s="1750"/>
      <c r="K8" s="127"/>
      <c r="L8" s="128"/>
      <c r="M8" s="129">
        <f>DATOS!F22</f>
        <v>20</v>
      </c>
      <c r="N8" s="134">
        <f t="shared" si="0"/>
        <v>7041.4705000000004</v>
      </c>
      <c r="O8" s="135">
        <f>DATOS!F3</f>
        <v>140829.41</v>
      </c>
      <c r="P8" s="1303">
        <f>DATOS!F5</f>
        <v>33626.650000000016</v>
      </c>
      <c r="Q8" s="131" t="s">
        <v>1</v>
      </c>
      <c r="R8" s="132">
        <f t="shared" si="1"/>
        <v>0.23877576423845001</v>
      </c>
      <c r="S8" s="136"/>
      <c r="T8" s="357">
        <f>SUM(DATOS!F6+DATOS!F11+DATOS!F12+DATOS!F13+DATOS!F15+DATOS!F16)/DATOS!F22</f>
        <v>4006.1930000000002</v>
      </c>
      <c r="U8" s="136"/>
      <c r="V8" s="136"/>
    </row>
    <row r="9" spans="4:22" ht="21" thickBot="1" x14ac:dyDescent="0.35">
      <c r="D9" s="1755" t="s">
        <v>2</v>
      </c>
      <c r="E9" s="1756"/>
      <c r="F9" s="1748">
        <f>$O9/$M9/DATOS!H26</f>
        <v>475.04951515151515</v>
      </c>
      <c r="G9" s="1749"/>
      <c r="H9" s="1749"/>
      <c r="I9" s="1750"/>
      <c r="K9" s="127"/>
      <c r="L9" s="128"/>
      <c r="M9" s="129">
        <f>DATOS!H22</f>
        <v>22</v>
      </c>
      <c r="N9" s="137">
        <f t="shared" si="0"/>
        <v>3562.8713636363636</v>
      </c>
      <c r="O9" s="135">
        <f>DATOS!H3</f>
        <v>78383.17</v>
      </c>
      <c r="P9" s="1303">
        <f>DATOS!H5</f>
        <v>-19229.38</v>
      </c>
      <c r="Q9" s="131" t="s">
        <v>2</v>
      </c>
      <c r="R9" s="132">
        <f t="shared" si="1"/>
        <v>-0.24532536767778085</v>
      </c>
      <c r="S9" s="136"/>
      <c r="T9" s="357">
        <f>SUM(DATOS!H6+DATOS!H11+DATOS!H12+DATOS!H13+DATOS!H15+DATOS!H16)/DATOS!H22</f>
        <v>3289.1190909090919</v>
      </c>
      <c r="U9" s="136"/>
      <c r="V9" s="136"/>
    </row>
    <row r="10" spans="4:22" ht="21" thickBot="1" x14ac:dyDescent="0.35">
      <c r="D10" s="1746" t="s">
        <v>3</v>
      </c>
      <c r="E10" s="1747"/>
      <c r="F10" s="1748">
        <f>$O10/$M10/DATOS!J26</f>
        <v>767.84680000000003</v>
      </c>
      <c r="G10" s="1749"/>
      <c r="H10" s="1749"/>
      <c r="I10" s="1750"/>
      <c r="K10" s="127"/>
      <c r="L10" s="128"/>
      <c r="M10" s="129">
        <f>DATOS!J22</f>
        <v>20</v>
      </c>
      <c r="N10" s="138">
        <f t="shared" si="0"/>
        <v>5758.8510000000006</v>
      </c>
      <c r="O10" s="135">
        <f>DATOS!J3</f>
        <v>115177.02</v>
      </c>
      <c r="P10" s="1303">
        <f>DATOS!J5</f>
        <v>17381.970000000005</v>
      </c>
      <c r="Q10" s="131" t="s">
        <v>3</v>
      </c>
      <c r="R10" s="132">
        <f t="shared" si="1"/>
        <v>0.15091526070044184</v>
      </c>
      <c r="S10" s="136"/>
      <c r="T10" s="357">
        <f>SUM(DATOS!J6+DATOS!J11+DATOS!J12+DATOS!J13+DATOS!J15+DATOS!J16)/DATOS!J22</f>
        <v>3974.45</v>
      </c>
      <c r="U10" s="136"/>
      <c r="V10" s="136"/>
    </row>
    <row r="11" spans="4:22" ht="21" thickBot="1" x14ac:dyDescent="0.35">
      <c r="D11" s="1751" t="s">
        <v>4</v>
      </c>
      <c r="E11" s="1752"/>
      <c r="F11" s="1748">
        <f>$O11/$M11/DATOS!L26</f>
        <v>877.18993333333322</v>
      </c>
      <c r="G11" s="1749"/>
      <c r="H11" s="1749"/>
      <c r="I11" s="1750"/>
      <c r="K11" s="127"/>
      <c r="L11" s="128"/>
      <c r="M11" s="129">
        <f>DATOS!L22</f>
        <v>20</v>
      </c>
      <c r="N11" s="139">
        <f t="shared" si="0"/>
        <v>6578.9244999999992</v>
      </c>
      <c r="O11" s="135">
        <f>DATOS!L3</f>
        <v>131578.49</v>
      </c>
      <c r="P11" s="1111">
        <f>DATOS!L5</f>
        <v>18306.719999999979</v>
      </c>
      <c r="Q11" s="131" t="s">
        <v>4</v>
      </c>
      <c r="R11" s="132">
        <f t="shared" si="1"/>
        <v>0.13913155562128721</v>
      </c>
      <c r="S11" s="136"/>
      <c r="T11" s="357">
        <f>SUM(DATOS!L6+DATOS!L11+DATOS!L12+DATOS!L13+DATOS!L15+DATOS!L16)/DATOS!L22</f>
        <v>4343.8909999999996</v>
      </c>
      <c r="U11" s="136"/>
      <c r="V11" s="136"/>
    </row>
    <row r="12" spans="4:22" ht="21" thickBot="1" x14ac:dyDescent="0.35">
      <c r="D12" s="1753" t="s">
        <v>5</v>
      </c>
      <c r="E12" s="1754"/>
      <c r="F12" s="1733">
        <f>$O12/$M12/DATOS!N26</f>
        <v>890.53896969696973</v>
      </c>
      <c r="G12" s="1734"/>
      <c r="H12" s="1734"/>
      <c r="I12" s="1735"/>
      <c r="K12" s="127"/>
      <c r="L12" s="128"/>
      <c r="M12" s="129">
        <f>DATOS!N22</f>
        <v>22</v>
      </c>
      <c r="N12" s="140">
        <f t="shared" si="0"/>
        <v>6679.0422727272726</v>
      </c>
      <c r="O12" s="135">
        <f>DATOS!N3</f>
        <v>146938.93</v>
      </c>
      <c r="P12" s="1303">
        <f>DATOS!N5</f>
        <v>-20863.039999999997</v>
      </c>
      <c r="Q12" s="131" t="s">
        <v>5</v>
      </c>
      <c r="R12" s="132">
        <f t="shared" si="1"/>
        <v>-0.14198442849692725</v>
      </c>
      <c r="S12" s="136"/>
      <c r="T12" s="357">
        <f>SUM(DATOS!N6+DATOS!N11+DATOS!N12+DATOS!N13+DATOS!N15+DATOS!N16)/DATOS!N22</f>
        <v>3538.8554545454549</v>
      </c>
      <c r="U12" s="136"/>
      <c r="V12" s="136"/>
    </row>
    <row r="13" spans="4:22" ht="21" thickBot="1" x14ac:dyDescent="0.35">
      <c r="D13" s="1740" t="s">
        <v>6</v>
      </c>
      <c r="E13" s="1741"/>
      <c r="F13" s="1733">
        <f>$O13/$M13/DATOS!P26</f>
        <v>6792.9339710144941</v>
      </c>
      <c r="G13" s="1734"/>
      <c r="H13" s="1734"/>
      <c r="I13" s="1735"/>
      <c r="K13" s="127"/>
      <c r="L13" s="128"/>
      <c r="M13" s="129">
        <f>DATOS!P22</f>
        <v>23</v>
      </c>
      <c r="N13" s="141">
        <f t="shared" si="0"/>
        <v>50947.004782608703</v>
      </c>
      <c r="O13" s="135">
        <f>DATOS!P3</f>
        <v>1171781.1100000001</v>
      </c>
      <c r="P13" s="1111">
        <f>DATOS!P5</f>
        <v>-32759.87</v>
      </c>
      <c r="Q13" s="131" t="s">
        <v>6</v>
      </c>
      <c r="R13" s="132">
        <f t="shared" si="1"/>
        <v>-2.7957328992955003E-2</v>
      </c>
      <c r="S13" s="136"/>
      <c r="T13" s="357">
        <f>SUM(DATOS!P6+DATOS!P11+DATOS!P12+DATOS!P13+DATOS!P15+DATOS!P16)/DATOS!P22</f>
        <v>2872.0373913043477</v>
      </c>
      <c r="U13" s="136"/>
      <c r="V13" s="136"/>
    </row>
    <row r="14" spans="4:22" ht="21" thickBot="1" x14ac:dyDescent="0.35">
      <c r="D14" s="1742" t="s">
        <v>7</v>
      </c>
      <c r="E14" s="1743"/>
      <c r="F14" s="1733">
        <f>$O14/$M14/DATOS!R26</f>
        <v>96.914095238095243</v>
      </c>
      <c r="G14" s="1734"/>
      <c r="H14" s="1734"/>
      <c r="I14" s="1735"/>
      <c r="K14" s="127"/>
      <c r="L14" s="128"/>
      <c r="M14" s="129">
        <f>DATOS!R22</f>
        <v>21</v>
      </c>
      <c r="N14" s="142">
        <f t="shared" si="0"/>
        <v>726.85571428571427</v>
      </c>
      <c r="O14" s="135">
        <f>DATOS!R3</f>
        <v>15263.97</v>
      </c>
      <c r="P14" s="1109">
        <f>DATOS!R5</f>
        <v>-13051.13</v>
      </c>
      <c r="Q14" s="131" t="s">
        <v>7</v>
      </c>
      <c r="R14" s="132">
        <f t="shared" si="1"/>
        <v>-0.85502854106762527</v>
      </c>
      <c r="S14" s="143"/>
      <c r="T14" s="357">
        <f>SUM(DATOS!R6+DATOS!R11+DATOS!R12+DATOS!R13+DATOS!R15+DATOS!R16)/DATOS!R22</f>
        <v>1442.6885714285713</v>
      </c>
      <c r="U14" s="136"/>
      <c r="V14" s="143"/>
    </row>
    <row r="15" spans="4:22" ht="21" thickBot="1" x14ac:dyDescent="0.35">
      <c r="D15" s="1744" t="s">
        <v>8</v>
      </c>
      <c r="E15" s="1745"/>
      <c r="F15" s="1733">
        <f>$O15/$M15/DATOS!T26</f>
        <v>988.50442424242431</v>
      </c>
      <c r="G15" s="1734"/>
      <c r="H15" s="1734"/>
      <c r="I15" s="1735"/>
      <c r="K15" s="127"/>
      <c r="L15" s="128"/>
      <c r="M15" s="129">
        <f>DATOS!T22</f>
        <v>22</v>
      </c>
      <c r="N15" s="144">
        <f t="shared" si="0"/>
        <v>7413.7831818181821</v>
      </c>
      <c r="O15" s="135">
        <f>DATOS!T3</f>
        <v>163103.23000000001</v>
      </c>
      <c r="P15" s="1303">
        <f>DATOS!T5</f>
        <v>-17430.36</v>
      </c>
      <c r="Q15" s="131" t="s">
        <v>8</v>
      </c>
      <c r="R15" s="132">
        <f t="shared" si="1"/>
        <v>-0.10686704365082163</v>
      </c>
      <c r="S15" s="145"/>
      <c r="T15" s="357">
        <f>SUM(DATOS!T6+DATOS!T11+DATOS!T12+DATOS!T13+DATOS!T15+DATOS!T16)/DATOS!T22</f>
        <v>2338.5836363636363</v>
      </c>
      <c r="U15" s="136"/>
      <c r="V15" s="145"/>
    </row>
    <row r="16" spans="4:22" ht="21" thickBot="1" x14ac:dyDescent="0.35">
      <c r="D16" s="1731" t="s">
        <v>9</v>
      </c>
      <c r="E16" s="1732"/>
      <c r="F16" s="1733">
        <f>$O16/$M16/DATOS!V26</f>
        <v>1031.5027813436029</v>
      </c>
      <c r="G16" s="1734"/>
      <c r="H16" s="1734"/>
      <c r="I16" s="1735"/>
      <c r="K16" s="127"/>
      <c r="L16" s="128"/>
      <c r="M16" s="129">
        <f>DATOS!V22</f>
        <v>21</v>
      </c>
      <c r="N16" s="146">
        <f t="shared" si="0"/>
        <v>8035.4066666666668</v>
      </c>
      <c r="O16" s="135">
        <f>DATOS!V3</f>
        <v>168743.54</v>
      </c>
      <c r="P16" s="1111">
        <f>DATOS!V5</f>
        <v>-20007.990000000002</v>
      </c>
      <c r="Q16" s="131" t="s">
        <v>9</v>
      </c>
      <c r="R16" s="132">
        <f t="shared" si="1"/>
        <v>-0.11857040571745739</v>
      </c>
      <c r="S16" s="136"/>
      <c r="T16" s="357">
        <f>SUM(DATOS!V6+DATOS!V11+DATOS!V12+DATOS!V13+DATOS!V15+DATOS!V16)/DATOS!V22</f>
        <v>2587.4661904761911</v>
      </c>
      <c r="U16" s="136"/>
      <c r="V16" s="136"/>
    </row>
    <row r="17" spans="4:22" ht="21" thickBot="1" x14ac:dyDescent="0.35">
      <c r="D17" s="1736" t="s">
        <v>10</v>
      </c>
      <c r="E17" s="1737"/>
      <c r="F17" s="1733">
        <f>$O17/$M17/DATOS!X26</f>
        <v>945.06222874258822</v>
      </c>
      <c r="G17" s="1734"/>
      <c r="H17" s="1734"/>
      <c r="I17" s="1735"/>
      <c r="K17" s="127"/>
      <c r="L17" s="128"/>
      <c r="M17" s="129">
        <f>DATOS!X22</f>
        <v>21</v>
      </c>
      <c r="N17" s="147">
        <f t="shared" si="0"/>
        <v>7362.0347619047625</v>
      </c>
      <c r="O17" s="135">
        <f>DATOS!X3</f>
        <v>154602.73000000001</v>
      </c>
      <c r="P17" s="148">
        <f>DATOS!X5</f>
        <v>-13754.3</v>
      </c>
      <c r="Q17" s="131" t="s">
        <v>10</v>
      </c>
      <c r="R17" s="132">
        <f t="shared" si="1"/>
        <v>-8.8965440649075203E-2</v>
      </c>
      <c r="S17" s="136"/>
      <c r="T17" s="357">
        <f>SUM(DATOS!X6+DATOS!X11+DATOS!X12+DATOS!X13+DATOS!X15+DATOS!X16)/DATOS!X22</f>
        <v>2270.0847619047622</v>
      </c>
      <c r="U17" s="136"/>
      <c r="V17" s="136"/>
    </row>
    <row r="18" spans="4:22" ht="20.45" customHeight="1" thickBot="1" x14ac:dyDescent="0.35">
      <c r="D18" s="1738" t="s">
        <v>11</v>
      </c>
      <c r="E18" s="1739"/>
      <c r="F18" s="1733">
        <f>$O18/$M18/DATOS!Z26</f>
        <v>1226.067</v>
      </c>
      <c r="G18" s="1734"/>
      <c r="H18" s="1734"/>
      <c r="I18" s="1735"/>
      <c r="K18" s="127"/>
      <c r="L18" s="128"/>
      <c r="M18" s="129">
        <f>DATOS!Z22</f>
        <v>20</v>
      </c>
      <c r="N18" s="359">
        <f t="shared" si="0"/>
        <v>2452.134</v>
      </c>
      <c r="O18" s="135">
        <f>DATOS!Z3</f>
        <v>49042.68</v>
      </c>
      <c r="P18" s="148">
        <f>DATOS!Z5</f>
        <v>45163.090000000004</v>
      </c>
      <c r="Q18" s="131" t="s">
        <v>11</v>
      </c>
      <c r="R18" s="132">
        <f t="shared" si="1"/>
        <v>0.92089359716883346</v>
      </c>
      <c r="S18" s="136"/>
      <c r="T18" s="357">
        <f>SUM(DATOS!Z6+DATOS!Z11+DATOS!Z12+DATOS!Z13+DATOS!Z15+DATOS!Z16)/DATOS!Z22</f>
        <v>-1408.7125000000001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250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728" t="s">
        <v>164</v>
      </c>
      <c r="E21" s="1729"/>
      <c r="F21" s="1730">
        <f>O21/M19/DATOS!AB26</f>
        <v>1374.2935627644572</v>
      </c>
      <c r="G21" s="1730"/>
      <c r="H21" s="1730"/>
      <c r="I21" s="1730"/>
      <c r="K21" s="157"/>
      <c r="L21" s="158"/>
      <c r="N21" s="159">
        <f>O21/M19</f>
        <v>9743.7413600000018</v>
      </c>
      <c r="O21" s="160">
        <f>SUM(O7:O18)</f>
        <v>2435935.3400000003</v>
      </c>
      <c r="P21" s="668">
        <f>SUM(P7:P18)</f>
        <v>-21605.420000000006</v>
      </c>
      <c r="Q21" s="161" t="s">
        <v>158</v>
      </c>
      <c r="R21" s="162">
        <f>P21/O21</f>
        <v>-8.8694554593555033E-3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9:E9"/>
    <mergeCell ref="F9:I9"/>
    <mergeCell ref="D6:I6"/>
    <mergeCell ref="D7:E7"/>
    <mergeCell ref="F7:I7"/>
    <mergeCell ref="D8:E8"/>
    <mergeCell ref="F8:I8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21:E21"/>
    <mergeCell ref="F21:I21"/>
    <mergeCell ref="D16:E16"/>
    <mergeCell ref="F16:I16"/>
    <mergeCell ref="D17:E17"/>
    <mergeCell ref="F17:I17"/>
    <mergeCell ref="D18:E18"/>
    <mergeCell ref="F18:I1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rgb="FF002060"/>
    <pageSetUpPr fitToPage="1"/>
  </sheetPr>
  <dimension ref="B2:M35"/>
  <sheetViews>
    <sheetView topLeftCell="A13" zoomScale="110" zoomScaleNormal="110" workbookViewId="0">
      <selection activeCell="I6" sqref="I6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0.8554687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0.8554687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0.8554687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0.8554687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0.8554687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0.8554687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0.8554687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0.8554687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0.8554687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0.8554687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0.8554687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0.8554687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0.8554687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0.8554687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0.8554687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0.8554687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0.8554687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0.8554687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0.8554687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0.8554687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0.8554687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0.8554687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0.8554687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0.8554687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0.8554687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0.8554687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0.8554687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0.8554687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0.8554687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0.8554687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0.8554687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0.8554687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0.8554687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0.8554687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0.8554687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0.8554687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0.8554687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0.8554687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0.8554687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0.8554687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0.8554687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0.8554687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0.8554687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0.8554687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0.8554687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0.8554687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0.8554687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0.8554687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0.8554687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0.8554687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0.8554687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0.8554687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0.8554687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0.8554687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0.8554687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0.8554687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0.8554687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0.8554687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0.8554687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0.8554687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0.8554687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0.8554687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0.8554687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0.85546875" style="90"/>
  </cols>
  <sheetData>
    <row r="2" spans="2:13" ht="4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DATOS!C23</f>
        <v>22.5</v>
      </c>
      <c r="D6" s="101">
        <f>DATOS!C24</f>
        <v>8</v>
      </c>
      <c r="E6" s="101">
        <f>DATOS!C25</f>
        <v>2.5</v>
      </c>
      <c r="F6" s="101">
        <f>SUM($C6:$E6)</f>
        <v>33</v>
      </c>
      <c r="G6" s="102">
        <f>DATOS!C6</f>
        <v>64148.639999999999</v>
      </c>
      <c r="I6" s="103">
        <f>DATOS!C$3/DATOS!C$23</f>
        <v>10598.232444444446</v>
      </c>
      <c r="K6" s="104">
        <f>DATOS!C$3/(DATOS!C$23+DATOS!C$24)</f>
        <v>7818.3681967213115</v>
      </c>
      <c r="M6" s="104">
        <f>DATOS!C$3/DATOS!C$26</f>
        <v>7226.0675757575764</v>
      </c>
    </row>
    <row r="7" spans="2:13" x14ac:dyDescent="0.2">
      <c r="B7" s="100" t="s">
        <v>1</v>
      </c>
      <c r="C7" s="101">
        <f>DATOS!E23</f>
        <v>22.5</v>
      </c>
      <c r="D7" s="101">
        <f>DATOS!E24</f>
        <v>9.25</v>
      </c>
      <c r="E7" s="101">
        <f>DATOS!E25</f>
        <v>2.5</v>
      </c>
      <c r="F7" s="101">
        <f t="shared" ref="F7:F17" si="0">SUM($C7:$E7)</f>
        <v>34.25</v>
      </c>
      <c r="G7" s="102">
        <f>DATOS!E6</f>
        <v>74637.47</v>
      </c>
      <c r="I7" s="103">
        <f>DATOS!E3/DATOS!E23</f>
        <v>9563.1191111111111</v>
      </c>
      <c r="K7" s="104">
        <f>DATOS!E$3/(DATOS!E$23+DATOS!E$24)</f>
        <v>6777.0135433070864</v>
      </c>
      <c r="M7" s="104">
        <f>DATOS!E$3/DATOS!E$26</f>
        <v>6282.3410218978097</v>
      </c>
    </row>
    <row r="8" spans="2:13" x14ac:dyDescent="0.2">
      <c r="B8" s="100" t="s">
        <v>2</v>
      </c>
      <c r="C8" s="101">
        <f>DATOS!G23</f>
        <v>22.05</v>
      </c>
      <c r="D8" s="101">
        <f>DATOS!G24</f>
        <v>9</v>
      </c>
      <c r="E8" s="101">
        <f>DATOS!G25</f>
        <v>2.5</v>
      </c>
      <c r="F8" s="101">
        <f t="shared" si="0"/>
        <v>33.549999999999997</v>
      </c>
      <c r="G8" s="102">
        <f>DATOS!G6</f>
        <v>68861.58</v>
      </c>
      <c r="I8" s="103">
        <f>DATOS!G3/DATOS!G23</f>
        <v>11334.858956916099</v>
      </c>
      <c r="K8" s="104">
        <f>DATOS!G$3/(DATOS!G$23+DATOS!G$24)</f>
        <v>8049.3925925925932</v>
      </c>
      <c r="M8" s="104">
        <f>DATOS!G$3/DATOS!G$26</f>
        <v>7449.5868852459025</v>
      </c>
    </row>
    <row r="9" spans="2:13" x14ac:dyDescent="0.2">
      <c r="B9" s="100" t="s">
        <v>3</v>
      </c>
      <c r="C9" s="101">
        <f>DATOS!I23</f>
        <v>20.5</v>
      </c>
      <c r="D9" s="101">
        <f>DATOS!I24</f>
        <v>9</v>
      </c>
      <c r="E9" s="101">
        <f>DATOS!I25</f>
        <v>2.5</v>
      </c>
      <c r="F9" s="101">
        <f t="shared" si="0"/>
        <v>32</v>
      </c>
      <c r="G9" s="102">
        <f>DATOS!I6</f>
        <v>66085.09</v>
      </c>
      <c r="I9" s="103">
        <f>DATOS!I3/DATOS!I23</f>
        <v>10435.611707317074</v>
      </c>
      <c r="K9" s="104">
        <f>DATOS!I$3/(DATOS!I$23+DATOS!I$24)</f>
        <v>7251.8657627118646</v>
      </c>
      <c r="M9" s="104">
        <f>DATOS!I$3/DATOS!I$26</f>
        <v>6685.3137500000003</v>
      </c>
    </row>
    <row r="10" spans="2:13" x14ac:dyDescent="0.2">
      <c r="B10" s="100" t="s">
        <v>4</v>
      </c>
      <c r="C10" s="101">
        <f>DATOS!K23</f>
        <v>21.13</v>
      </c>
      <c r="D10" s="101">
        <f>DATOS!K24</f>
        <v>9</v>
      </c>
      <c r="E10" s="101">
        <f>DATOS!K25</f>
        <v>2.5</v>
      </c>
      <c r="F10" s="101">
        <f t="shared" si="0"/>
        <v>32.629999999999995</v>
      </c>
      <c r="G10" s="102">
        <f>DATOS!K6</f>
        <v>64547.59</v>
      </c>
      <c r="I10" s="103">
        <f>DATOS!K3/DATOS!K23</f>
        <v>11785.598201609087</v>
      </c>
      <c r="K10" s="104">
        <f>DATOS!K$3/(DATOS!K$23+DATOS!K$24)</f>
        <v>8265.173913043478</v>
      </c>
      <c r="M10" s="104">
        <f>DATOS!K$3/DATOS!K$26</f>
        <v>7631.924302788846</v>
      </c>
    </row>
    <row r="11" spans="2:13" x14ac:dyDescent="0.2">
      <c r="B11" s="100" t="s">
        <v>5</v>
      </c>
      <c r="C11" s="101">
        <f>DATOS!M23</f>
        <v>23.363</v>
      </c>
      <c r="D11" s="101">
        <f>DATOS!M24</f>
        <v>9</v>
      </c>
      <c r="E11" s="101">
        <f>DATOS!M25</f>
        <v>2.5</v>
      </c>
      <c r="F11" s="101">
        <f t="shared" si="0"/>
        <v>34.863</v>
      </c>
      <c r="G11" s="102">
        <f>DATOS!M6</f>
        <v>62531.09</v>
      </c>
      <c r="I11" s="103">
        <f>DATOS!M3/DATOS!M23</f>
        <v>12846.316397722894</v>
      </c>
      <c r="K11" s="104">
        <f>DATOS!M$3/(DATOS!M$23+DATOS!M$24)</f>
        <v>9273.8154682816803</v>
      </c>
      <c r="M11" s="104">
        <f>DATOS!M$3/DATOS!M$26</f>
        <v>8608.7970054212201</v>
      </c>
    </row>
    <row r="12" spans="2:13" x14ac:dyDescent="0.2">
      <c r="B12" s="100" t="s">
        <v>6</v>
      </c>
      <c r="C12" s="101">
        <f>DATOS!O23</f>
        <v>26.580000000000005</v>
      </c>
      <c r="D12" s="101">
        <f>DATOS!O24</f>
        <v>9</v>
      </c>
      <c r="E12" s="101">
        <f>DATOS!O25</f>
        <v>2.5</v>
      </c>
      <c r="F12" s="101">
        <f t="shared" si="0"/>
        <v>38.080000000000005</v>
      </c>
      <c r="G12" s="102">
        <f>DATOS!O6</f>
        <v>63948.82</v>
      </c>
      <c r="I12" s="103">
        <f>DATOS!O3/DATOS!O23</f>
        <v>12389.079382994729</v>
      </c>
      <c r="K12" s="104">
        <f>DATOS!O$3/(DATOS!O$23+DATOS!O$24)</f>
        <v>9255.2481731309708</v>
      </c>
      <c r="M12" s="104">
        <f>DATOS!O$3/DATOS!O$26</f>
        <v>8647.6294642857119</v>
      </c>
    </row>
    <row r="13" spans="2:13" x14ac:dyDescent="0.2">
      <c r="B13" s="100" t="s">
        <v>7</v>
      </c>
      <c r="C13" s="101">
        <f>DATOS!Q23</f>
        <v>26</v>
      </c>
      <c r="D13" s="101">
        <f>DATOS!Q24</f>
        <v>9</v>
      </c>
      <c r="E13" s="101">
        <f>DATOS!Q25</f>
        <v>2.5</v>
      </c>
      <c r="F13" s="101">
        <f t="shared" si="0"/>
        <v>37.5</v>
      </c>
      <c r="G13" s="102">
        <f>DATOS!Q6</f>
        <v>59654.49</v>
      </c>
      <c r="I13" s="103">
        <f>DATOS!Q3/DATOS!Q23</f>
        <v>2322.9303846153848</v>
      </c>
      <c r="K13" s="104">
        <f>DATOS!Q$3/(DATOS!Q$23+DATOS!Q$24)</f>
        <v>1725.6054285714285</v>
      </c>
      <c r="M13" s="104">
        <f>DATOS!Q$3/DATOS!Q$26</f>
        <v>1610.5650666666668</v>
      </c>
    </row>
    <row r="14" spans="2:13" x14ac:dyDescent="0.2">
      <c r="B14" s="100" t="s">
        <v>8</v>
      </c>
      <c r="C14" s="101">
        <f>DATOS!S23</f>
        <v>27</v>
      </c>
      <c r="D14" s="101">
        <f>DATOS!S24</f>
        <v>9</v>
      </c>
      <c r="E14" s="101">
        <f>DATOS!S25</f>
        <v>2.5</v>
      </c>
      <c r="F14" s="101">
        <f t="shared" si="0"/>
        <v>38.5</v>
      </c>
      <c r="G14" s="102">
        <f>DATOS!S6</f>
        <v>63875.39</v>
      </c>
      <c r="I14" s="103">
        <f>DATOS!S3/DATOS!S23</f>
        <v>10581.472592592592</v>
      </c>
      <c r="K14" s="104">
        <f>DATOS!S$3/(DATOS!S$23+DATOS!S$24)</f>
        <v>7936.1044444444451</v>
      </c>
      <c r="M14" s="104">
        <f>DATOS!S$3/DATOS!S$26</f>
        <v>7420.772987012987</v>
      </c>
    </row>
    <row r="15" spans="2:13" x14ac:dyDescent="0.2">
      <c r="B15" s="100" t="s">
        <v>9</v>
      </c>
      <c r="C15" s="101">
        <f>DATOS!U23</f>
        <v>26.72</v>
      </c>
      <c r="D15" s="101">
        <f>DATOS!U24</f>
        <v>9</v>
      </c>
      <c r="E15" s="101">
        <f>DATOS!U25</f>
        <v>2.5</v>
      </c>
      <c r="F15" s="101">
        <f t="shared" si="0"/>
        <v>38.22</v>
      </c>
      <c r="G15" s="102">
        <f>DATOS!U6</f>
        <v>60314.86</v>
      </c>
      <c r="I15" s="103">
        <f>DATOS!U3/DATOS!U23</f>
        <v>10242.872380239522</v>
      </c>
      <c r="K15" s="104">
        <f>DATOS!U$3/(DATOS!U$23+DATOS!U$24)</f>
        <v>7662.0814669652855</v>
      </c>
      <c r="M15" s="104">
        <f>DATOS!U$3/DATOS!U$26</f>
        <v>7160.8987441130294</v>
      </c>
    </row>
    <row r="16" spans="2:13" x14ac:dyDescent="0.2">
      <c r="B16" s="100" t="s">
        <v>10</v>
      </c>
      <c r="C16" s="101">
        <f>DATOS!W23</f>
        <v>26.15</v>
      </c>
      <c r="D16" s="101">
        <f>DATOS!W24</f>
        <v>9</v>
      </c>
      <c r="E16" s="101">
        <f>DATOS!W25</f>
        <v>2.5</v>
      </c>
      <c r="F16" s="101">
        <f t="shared" si="0"/>
        <v>37.65</v>
      </c>
      <c r="G16" s="102">
        <f>DATOS!W6</f>
        <v>62043.18</v>
      </c>
      <c r="I16" s="103">
        <f>DATOS!W3/DATOS!W23</f>
        <v>9523.9544933078396</v>
      </c>
      <c r="K16" s="104">
        <f>DATOS!W$3/(DATOS!W$23+DATOS!W$24)</f>
        <v>7085.3886201991472</v>
      </c>
      <c r="M16" s="104">
        <f>DATOS!W$3/DATOS!W$26</f>
        <v>6614.9112881806113</v>
      </c>
    </row>
    <row r="17" spans="2:13" ht="13.5" thickBot="1" x14ac:dyDescent="0.25">
      <c r="B17" s="105" t="s">
        <v>11</v>
      </c>
      <c r="C17" s="101">
        <f>DATOS!Y23</f>
        <v>25.380000000000003</v>
      </c>
      <c r="D17" s="101">
        <f>DATOS!Y24</f>
        <v>9</v>
      </c>
      <c r="E17" s="106">
        <f>DATOS!Y25</f>
        <v>2.5</v>
      </c>
      <c r="F17" s="101">
        <f t="shared" si="0"/>
        <v>36.880000000000003</v>
      </c>
      <c r="G17" s="102">
        <f>DATOS!Y6</f>
        <v>65602.17</v>
      </c>
      <c r="I17" s="103">
        <f>DATOS!Y3/DATOS!Y23</f>
        <v>4461.9255319148933</v>
      </c>
      <c r="K17" s="104">
        <f>DATOS!Y$3/(DATOS!Y$23+DATOS!Y$24)</f>
        <v>3293.8821989528792</v>
      </c>
      <c r="M17" s="104">
        <f>DATOS!Y$3/DATOS!Y$26</f>
        <v>3070.5984273318868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24.156083333333331</v>
      </c>
      <c r="D19" s="108">
        <f>AVERAGE(D6:D17)</f>
        <v>8.9375</v>
      </c>
      <c r="E19" s="108">
        <f>AVERAGE(E6:E17)</f>
        <v>2.5</v>
      </c>
      <c r="F19" s="108">
        <f>AVERAGE(F6:F17)</f>
        <v>35.593583333333335</v>
      </c>
      <c r="G19" s="109">
        <f>AVERAGE(G6:G17)</f>
        <v>64687.530833333345</v>
      </c>
      <c r="H19" s="110"/>
      <c r="I19" s="111">
        <f>AVERAGE(I$6:I$17)</f>
        <v>9673.8309653988053</v>
      </c>
      <c r="J19" s="110"/>
      <c r="K19" s="111">
        <f>AVERAGE(K$6:K$17)</f>
        <v>7032.8283174101816</v>
      </c>
      <c r="L19" s="110"/>
      <c r="M19" s="111">
        <f>AVERAGE(M$6:M$17)</f>
        <v>6534.1172098918541</v>
      </c>
    </row>
    <row r="21" spans="2:13" x14ac:dyDescent="0.2">
      <c r="B21" s="1764" t="s">
        <v>750</v>
      </c>
      <c r="C21" s="1765"/>
    </row>
    <row r="22" spans="2:13" x14ac:dyDescent="0.2">
      <c r="B22" s="112" t="s">
        <v>0</v>
      </c>
      <c r="C22" s="113">
        <f>DATOS!C$6/DATOS!C$3</f>
        <v>0.26901190190079072</v>
      </c>
    </row>
    <row r="23" spans="2:13" x14ac:dyDescent="0.2">
      <c r="B23" s="112" t="s">
        <v>1</v>
      </c>
      <c r="C23" s="113">
        <f>DATOS!E$6/DATOS!E$3</f>
        <v>0.34687645843861825</v>
      </c>
    </row>
    <row r="24" spans="2:13" x14ac:dyDescent="0.2">
      <c r="B24" s="112" t="s">
        <v>2</v>
      </c>
      <c r="C24" s="113">
        <f>DATOS!G$6/DATOS!G$3</f>
        <v>0.27551945388383892</v>
      </c>
    </row>
    <row r="25" spans="2:13" x14ac:dyDescent="0.2">
      <c r="B25" s="112" t="s">
        <v>3</v>
      </c>
      <c r="C25" s="113">
        <f>DATOS!I$6/DATOS!I$3</f>
        <v>0.30890981930354428</v>
      </c>
    </row>
    <row r="26" spans="2:13" x14ac:dyDescent="0.2">
      <c r="B26" s="112" t="s">
        <v>4</v>
      </c>
      <c r="C26" s="113">
        <f>DATOS!K$6/DATOS!K$3</f>
        <v>0.25919636329306756</v>
      </c>
    </row>
    <row r="27" spans="2:13" x14ac:dyDescent="0.2">
      <c r="B27" s="112" t="s">
        <v>5</v>
      </c>
      <c r="C27" s="113">
        <f>DATOS!M$6/DATOS!M$3</f>
        <v>0.20834773133333659</v>
      </c>
    </row>
    <row r="28" spans="2:13" x14ac:dyDescent="0.2">
      <c r="B28" s="112" t="s">
        <v>6</v>
      </c>
      <c r="C28" s="113">
        <f>DATOS!O$6/DATOS!O$3</f>
        <v>0.19419521421888675</v>
      </c>
    </row>
    <row r="29" spans="2:13" x14ac:dyDescent="0.2">
      <c r="B29" s="112" t="s">
        <v>7</v>
      </c>
      <c r="C29" s="113">
        <f>DATOS!Q$6/DATOS!Q$3</f>
        <v>0.98771942402327029</v>
      </c>
    </row>
    <row r="30" spans="2:13" x14ac:dyDescent="0.2">
      <c r="B30" s="112" t="s">
        <v>8</v>
      </c>
      <c r="C30" s="113">
        <f>DATOS!S$6/DATOS!S$3</f>
        <v>0.22357523156477274</v>
      </c>
    </row>
    <row r="31" spans="2:13" x14ac:dyDescent="0.2">
      <c r="B31" s="112" t="s">
        <v>9</v>
      </c>
      <c r="C31" s="113">
        <f>DATOS!U$6/DATOS!U$3</f>
        <v>0.22037691976182505</v>
      </c>
    </row>
    <row r="32" spans="2:13" x14ac:dyDescent="0.2">
      <c r="B32" s="112" t="s">
        <v>10</v>
      </c>
      <c r="C32" s="113">
        <f>DATOS!W$6/DATOS!W$3</f>
        <v>0.24911796323498028</v>
      </c>
    </row>
    <row r="33" spans="2:3" ht="13.5" thickBot="1" x14ac:dyDescent="0.25">
      <c r="B33" s="114" t="s">
        <v>11</v>
      </c>
      <c r="C33" s="113">
        <f>DATOS!Y$6/DATOS!Y$3</f>
        <v>0.5793009887440066</v>
      </c>
    </row>
    <row r="34" spans="2:3" ht="13.5" thickBot="1" x14ac:dyDescent="0.25">
      <c r="B34" s="115" t="s">
        <v>158</v>
      </c>
      <c r="C34" s="116">
        <f>(DATOS!C6+DATOS!E6+DATOS!G6+DATOS!I6+DATOS!K6+DATOS!M6+DATOS!O6+DATOS!Q6+DATOS!S6+DATOS!U6+DATOS!W6+DATOS!Y6)/DATOS!AA3</f>
        <v>0.27942430075870406</v>
      </c>
    </row>
    <row r="35" spans="2:3" x14ac:dyDescent="0.2">
      <c r="C35" s="117"/>
    </row>
  </sheetData>
  <mergeCells count="1">
    <mergeCell ref="B21:C21"/>
  </mergeCells>
  <pageMargins left="0.75" right="0.75" top="1" bottom="1" header="0" footer="0"/>
  <pageSetup paperSize="9" scale="69" orientation="landscape" r:id="rId1"/>
  <headerFooter alignWithMargins="0"/>
  <ignoredErrors>
    <ignoredError sqref="J17 J12 J13 J8 J9 J10 J11 J14 J15 J16 L8 L9 L10 L11 L12 L13 L14 L15 L16 L17 C28:C33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FFFF00"/>
  </sheetPr>
  <dimension ref="B1:U106"/>
  <sheetViews>
    <sheetView tabSelected="1" topLeftCell="A34" zoomScale="70" zoomScaleNormal="70" workbookViewId="0">
      <pane xSplit="2" topLeftCell="C1" activePane="topRight" state="frozen"/>
      <selection activeCell="F21" sqref="F21:I21"/>
      <selection pane="topRight" activeCell="K50" sqref="K50"/>
    </sheetView>
  </sheetViews>
  <sheetFormatPr baseColWidth="10" defaultRowHeight="15" x14ac:dyDescent="0.25"/>
  <cols>
    <col min="2" max="2" width="33.140625" customWidth="1"/>
    <col min="3" max="3" width="14.85546875" customWidth="1"/>
    <col min="4" max="4" width="13.7109375" customWidth="1"/>
    <col min="6" max="6" width="13.7109375" customWidth="1"/>
    <col min="7" max="7" width="14.85546875" customWidth="1"/>
    <col min="8" max="8" width="13.5703125" customWidth="1"/>
    <col min="9" max="9" width="13.42578125" customWidth="1"/>
    <col min="11" max="11" width="13.85546875" customWidth="1"/>
    <col min="12" max="12" width="12.140625" customWidth="1"/>
    <col min="13" max="13" width="13.85546875" customWidth="1"/>
    <col min="14" max="14" width="15.42578125" customWidth="1"/>
  </cols>
  <sheetData>
    <row r="1" spans="2:21" x14ac:dyDescent="0.25">
      <c r="R1" s="1654" t="s">
        <v>50</v>
      </c>
      <c r="S1" s="1654"/>
    </row>
    <row r="3" spans="2:21" ht="15.75" thickBot="1" x14ac:dyDescent="0.3"/>
    <row r="4" spans="2:21" ht="27.75" thickTop="1" thickBot="1" x14ac:dyDescent="0.3">
      <c r="E4" s="1655" t="s">
        <v>39</v>
      </c>
      <c r="F4" s="1656"/>
      <c r="G4" s="1656"/>
      <c r="H4" s="1656"/>
      <c r="I4" s="1657"/>
    </row>
    <row r="5" spans="2:21" ht="15.75" thickTop="1" x14ac:dyDescent="0.25"/>
    <row r="6" spans="2:21" ht="15.75" thickBot="1" x14ac:dyDescent="0.3">
      <c r="B6" s="5" t="s">
        <v>1060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35">
        <f>DATOS!C5</f>
        <v>60723.23</v>
      </c>
      <c r="D7" s="35">
        <f>DATOS!E5</f>
        <v>5748.0199999999859</v>
      </c>
      <c r="E7" s="35">
        <f>DATOS!G5</f>
        <v>70268.270000000019</v>
      </c>
      <c r="F7" s="35">
        <f>DATOS!I5</f>
        <v>-3593.0200000000086</v>
      </c>
      <c r="G7" s="35">
        <f>DATOS!K5</f>
        <v>37184.769999999968</v>
      </c>
      <c r="H7" s="35">
        <f>DATOS!M5</f>
        <v>92431.730000000025</v>
      </c>
      <c r="I7" s="35">
        <f>DATOS!O5</f>
        <v>53142.069999999992</v>
      </c>
      <c r="J7" s="35">
        <f>DATOS!Q5</f>
        <v>-20804.529999999995</v>
      </c>
      <c r="K7" s="35">
        <f>DATOS!S5</f>
        <v>72494.370000000024</v>
      </c>
      <c r="L7" s="35">
        <f>DATOS!U5</f>
        <v>72960.130000000019</v>
      </c>
      <c r="M7" s="35">
        <f>DATOS!W5</f>
        <v>798.35000000002947</v>
      </c>
      <c r="N7" s="35">
        <f>DATOS!Y5</f>
        <v>12600.690000000015</v>
      </c>
    </row>
    <row r="8" spans="2:21" x14ac:dyDescent="0.25">
      <c r="B8" s="69" t="s">
        <v>41</v>
      </c>
      <c r="C8" s="70">
        <f>DATOS!C$3</f>
        <v>238460.23</v>
      </c>
      <c r="D8" s="70">
        <f>DATOS!E$3</f>
        <v>215170.18</v>
      </c>
      <c r="E8" s="70">
        <f>DATOS!G$3</f>
        <v>249933.64</v>
      </c>
      <c r="F8" s="70">
        <f>DATOS!I$3</f>
        <v>213930.04</v>
      </c>
      <c r="G8" s="70">
        <f>DATOS!K$3</f>
        <v>249029.69</v>
      </c>
      <c r="H8" s="70">
        <f>DATOS!M$3</f>
        <v>300128.49</v>
      </c>
      <c r="I8" s="70">
        <f>DATOS!O$3</f>
        <v>329301.73</v>
      </c>
      <c r="J8" s="70">
        <f>DATOS!Q$3</f>
        <v>60396.19</v>
      </c>
      <c r="K8" s="70">
        <f>DATOS!S$3</f>
        <v>285699.76</v>
      </c>
      <c r="L8" s="70">
        <f>DATOS!U$3</f>
        <v>273689.55</v>
      </c>
      <c r="M8" s="70">
        <f>DATOS!W$3</f>
        <v>249051.41</v>
      </c>
      <c r="N8" s="70">
        <f>DATOS!Y$3</f>
        <v>113243.67</v>
      </c>
    </row>
    <row r="9" spans="2:21" x14ac:dyDescent="0.25">
      <c r="B9" s="1" t="s">
        <v>73</v>
      </c>
      <c r="C9" s="369">
        <f>(C$7/C$8)</f>
        <v>0.25464720049963885</v>
      </c>
      <c r="D9" s="369">
        <f t="shared" ref="D9:N9" si="0">(D$7/D$8)</f>
        <v>2.6713831814427009E-2</v>
      </c>
      <c r="E9" s="369">
        <f t="shared" si="0"/>
        <v>0.28114770784757109</v>
      </c>
      <c r="F9" s="369">
        <f t="shared" si="0"/>
        <v>-1.6795303735744678E-2</v>
      </c>
      <c r="G9" s="369">
        <f t="shared" si="0"/>
        <v>0.14931862140614627</v>
      </c>
      <c r="H9" s="369">
        <f t="shared" si="0"/>
        <v>0.30797386146180267</v>
      </c>
      <c r="I9" s="369">
        <f t="shared" si="0"/>
        <v>0.16137804681439116</v>
      </c>
      <c r="J9" s="369">
        <f t="shared" si="0"/>
        <v>-0.34446758976021491</v>
      </c>
      <c r="K9" s="369">
        <f t="shared" si="0"/>
        <v>0.25374319530404932</v>
      </c>
      <c r="L9" s="369">
        <f t="shared" si="0"/>
        <v>0.26657988951350181</v>
      </c>
      <c r="M9" s="369">
        <f t="shared" si="0"/>
        <v>3.205563060253421E-3</v>
      </c>
      <c r="N9" s="369">
        <f t="shared" si="0"/>
        <v>0.1112705902237186</v>
      </c>
    </row>
    <row r="10" spans="2:21" ht="18.75" x14ac:dyDescent="0.3">
      <c r="B10" s="77" t="s">
        <v>27</v>
      </c>
      <c r="C10" s="86"/>
      <c r="D10" s="86"/>
      <c r="E10" s="368">
        <f>(C7+D7+E7)/(C8+D8+E8)</f>
        <v>0.19435262503818951</v>
      </c>
      <c r="F10" s="86"/>
      <c r="G10" s="86"/>
      <c r="H10" s="368">
        <f>(F7+G7+H7)/(F8+G8+H8)</f>
        <v>0.16514929296117295</v>
      </c>
      <c r="I10" s="86"/>
      <c r="J10" s="86"/>
      <c r="K10" s="368">
        <f>(I7+J7+K7)/(I8+J8+K8)</f>
        <v>0.1552150875022254</v>
      </c>
      <c r="L10" s="86"/>
      <c r="M10" s="86"/>
      <c r="N10" s="368">
        <f>(L7+M7+N7)/(L8+M8+N8)</f>
        <v>0.13578814003728371</v>
      </c>
    </row>
    <row r="11" spans="2:21" x14ac:dyDescent="0.25">
      <c r="B11" s="1" t="s">
        <v>20</v>
      </c>
      <c r="C11" s="36"/>
      <c r="D11" s="36"/>
      <c r="E11" s="369">
        <v>0.15</v>
      </c>
      <c r="F11" s="36"/>
      <c r="G11" s="36"/>
      <c r="H11" s="369">
        <v>0.15</v>
      </c>
      <c r="I11" s="36"/>
      <c r="J11" s="36"/>
      <c r="K11" s="369">
        <v>0.15</v>
      </c>
      <c r="L11" s="36"/>
      <c r="M11" s="36"/>
      <c r="N11" s="369">
        <v>0.15</v>
      </c>
    </row>
    <row r="12" spans="2:21" x14ac:dyDescent="0.25">
      <c r="B12" s="8" t="s">
        <v>17</v>
      </c>
      <c r="C12" s="37"/>
      <c r="D12" s="37"/>
      <c r="E12" s="9">
        <f>E10-E11</f>
        <v>4.4352625038189514E-2</v>
      </c>
      <c r="F12" s="37"/>
      <c r="G12" s="37"/>
      <c r="H12" s="9">
        <f>H10-H11</f>
        <v>1.5149292961172955E-2</v>
      </c>
      <c r="I12" s="37"/>
      <c r="J12" s="37"/>
      <c r="K12" s="9">
        <f>K10-K11</f>
        <v>5.2150875022254073E-3</v>
      </c>
      <c r="L12" s="37"/>
      <c r="M12" s="37"/>
      <c r="N12" s="9">
        <f>N9-N11</f>
        <v>-3.8729409776281393E-2</v>
      </c>
      <c r="P12" s="1654" t="s">
        <v>42</v>
      </c>
      <c r="Q12" s="1654"/>
      <c r="R12" s="1654"/>
      <c r="S12" s="1654"/>
      <c r="T12" s="1654"/>
      <c r="U12" s="1654"/>
    </row>
    <row r="13" spans="2:21" ht="15.75" thickBot="1" x14ac:dyDescent="0.3">
      <c r="P13" s="1654"/>
      <c r="Q13" s="1654"/>
      <c r="R13" s="1654"/>
      <c r="S13" s="1654"/>
      <c r="T13" s="1654"/>
      <c r="U13" s="1654"/>
    </row>
    <row r="14" spans="2:21" ht="27.75" customHeight="1" thickTop="1" thickBot="1" x14ac:dyDescent="0.45">
      <c r="C14" s="1658" t="s">
        <v>42</v>
      </c>
      <c r="D14" s="1661"/>
      <c r="E14" s="1661"/>
      <c r="F14" s="1661"/>
      <c r="G14" s="1661"/>
      <c r="H14" s="1661"/>
      <c r="I14" s="1661"/>
      <c r="J14" s="1661"/>
      <c r="K14" s="1661"/>
      <c r="L14" s="1661"/>
      <c r="M14" s="1662"/>
    </row>
    <row r="15" spans="2:21" ht="15.75" thickTop="1" x14ac:dyDescent="0.25"/>
    <row r="16" spans="2:21" ht="15.75" thickBot="1" x14ac:dyDescent="0.3">
      <c r="B16" s="20" t="s">
        <v>1060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DATOS!C13</f>
        <v>13306.72</v>
      </c>
      <c r="D17" s="15">
        <f>DATOS!E13</f>
        <v>13485.12</v>
      </c>
      <c r="E17" s="15">
        <f>DATOS!G13</f>
        <v>13485.12</v>
      </c>
      <c r="F17" s="15">
        <f>DATOS!I13</f>
        <v>13527.12</v>
      </c>
      <c r="G17" s="15">
        <f>DATOS!K13</f>
        <v>13527.12</v>
      </c>
      <c r="H17" s="15">
        <f>DATOS!M13</f>
        <v>13637.12</v>
      </c>
      <c r="I17" s="15">
        <f>DATOS!O13</f>
        <v>13637.12</v>
      </c>
      <c r="J17" s="15">
        <f>DATOS!Q13</f>
        <v>6818.68</v>
      </c>
      <c r="K17" s="15">
        <f>DATOS!S13</f>
        <v>13637.12</v>
      </c>
      <c r="L17" s="15">
        <f>DATOS!U13</f>
        <v>13637.12</v>
      </c>
      <c r="M17" s="15">
        <f>DATOS!W13</f>
        <v>13637.12</v>
      </c>
      <c r="N17" s="15">
        <f>DATOS!Y13</f>
        <v>6818.56</v>
      </c>
      <c r="P17" s="1654"/>
      <c r="Q17" s="1654"/>
      <c r="R17" s="1654"/>
      <c r="S17" s="1654"/>
      <c r="T17" s="1654"/>
      <c r="U17" s="1654"/>
    </row>
    <row r="18" spans="2:21" x14ac:dyDescent="0.25">
      <c r="B18" s="71" t="s">
        <v>41</v>
      </c>
      <c r="C18" s="70">
        <f>DATOS!C$3</f>
        <v>238460.23</v>
      </c>
      <c r="D18" s="70">
        <f>DATOS!E$3</f>
        <v>215170.18</v>
      </c>
      <c r="E18" s="70">
        <f>DATOS!G$3</f>
        <v>249933.64</v>
      </c>
      <c r="F18" s="70">
        <f>DATOS!I$3</f>
        <v>213930.04</v>
      </c>
      <c r="G18" s="70">
        <f>DATOS!K$3</f>
        <v>249029.69</v>
      </c>
      <c r="H18" s="70">
        <f>DATOS!M$3</f>
        <v>300128.49</v>
      </c>
      <c r="I18" s="70">
        <f>DATOS!O$3</f>
        <v>329301.73</v>
      </c>
      <c r="J18" s="70">
        <f>DATOS!Q$3</f>
        <v>60396.19</v>
      </c>
      <c r="K18" s="70">
        <f>DATOS!S$3</f>
        <v>285699.76</v>
      </c>
      <c r="L18" s="70">
        <f>DATOS!U$3</f>
        <v>273689.55</v>
      </c>
      <c r="M18" s="70">
        <f>DATOS!W$3</f>
        <v>249051.41</v>
      </c>
      <c r="N18" s="70">
        <f>DATOS!Y$3</f>
        <v>113243.67</v>
      </c>
    </row>
    <row r="19" spans="2:21" x14ac:dyDescent="0.25">
      <c r="B19" s="12" t="s">
        <v>73</v>
      </c>
      <c r="C19" s="366">
        <f>(C$17/C$18)</f>
        <v>5.5802680388255935E-2</v>
      </c>
      <c r="D19" s="366">
        <f t="shared" ref="D19:N19" si="1">(D$17/D$18)</f>
        <v>6.267188139174304E-2</v>
      </c>
      <c r="E19" s="366">
        <f t="shared" si="1"/>
        <v>5.3954801762579857E-2</v>
      </c>
      <c r="F19" s="366">
        <f t="shared" si="1"/>
        <v>6.3231512507546855E-2</v>
      </c>
      <c r="G19" s="366">
        <f t="shared" si="1"/>
        <v>5.431930626424504E-2</v>
      </c>
      <c r="H19" s="366">
        <f t="shared" si="1"/>
        <v>4.5437605740128173E-2</v>
      </c>
      <c r="I19" s="366">
        <f t="shared" si="1"/>
        <v>4.1412233090910279E-2</v>
      </c>
      <c r="J19" s="366">
        <f t="shared" si="1"/>
        <v>0.1128991746002521</v>
      </c>
      <c r="K19" s="366">
        <f t="shared" si="1"/>
        <v>4.7732346712506868E-2</v>
      </c>
      <c r="L19" s="366">
        <f t="shared" si="1"/>
        <v>4.9826966356589064E-2</v>
      </c>
      <c r="M19" s="366">
        <f t="shared" si="1"/>
        <v>5.4756244905419332E-2</v>
      </c>
      <c r="N19" s="366">
        <f t="shared" si="1"/>
        <v>6.0211400778515924E-2</v>
      </c>
    </row>
    <row r="20" spans="2:21" ht="18.75" x14ac:dyDescent="0.3">
      <c r="B20" s="77" t="s">
        <v>27</v>
      </c>
      <c r="C20" s="80"/>
      <c r="D20" s="80"/>
      <c r="E20" s="368">
        <f>(C17+D17+E17)/(C18+D18+E18)</f>
        <v>5.7247040976582016E-2</v>
      </c>
      <c r="F20" s="80"/>
      <c r="G20" s="80"/>
      <c r="H20" s="368">
        <f>(F17+G17+H17)/(F18+G18+H18)</f>
        <v>5.332458152741501E-2</v>
      </c>
      <c r="I20" s="80"/>
      <c r="J20" s="80"/>
      <c r="K20" s="368">
        <f>(I17+J17+K17)/(I18+J18+K18)</f>
        <v>5.0478290064603137E-2</v>
      </c>
      <c r="L20" s="80"/>
      <c r="M20" s="80"/>
      <c r="N20" s="368">
        <f>(L17+M17+N17)/(L18+M18+N18)</f>
        <v>5.3606326932775096E-2</v>
      </c>
      <c r="R20" s="1654"/>
      <c r="S20" s="1654"/>
    </row>
    <row r="21" spans="2:21" x14ac:dyDescent="0.25">
      <c r="B21" s="1" t="s">
        <v>20</v>
      </c>
      <c r="C21" s="17"/>
      <c r="D21" s="17"/>
      <c r="E21" s="369">
        <v>0.17</v>
      </c>
      <c r="F21" s="17"/>
      <c r="G21" s="17"/>
      <c r="H21" s="369">
        <v>0.17</v>
      </c>
      <c r="I21" s="17"/>
      <c r="J21" s="17"/>
      <c r="K21" s="369">
        <v>0.17</v>
      </c>
      <c r="L21" s="17"/>
      <c r="M21" s="17"/>
      <c r="N21" s="369">
        <v>0.17</v>
      </c>
    </row>
    <row r="22" spans="2:21" ht="15" customHeight="1" x14ac:dyDescent="0.25">
      <c r="B22" s="1" t="s">
        <v>17</v>
      </c>
      <c r="C22" s="36"/>
      <c r="D22" s="36"/>
      <c r="E22" s="369">
        <f>E21-E20</f>
        <v>0.112752959023418</v>
      </c>
      <c r="F22" s="36"/>
      <c r="G22" s="36"/>
      <c r="H22" s="369">
        <f>H21-H20</f>
        <v>0.116675418472585</v>
      </c>
      <c r="I22" s="36"/>
      <c r="J22" s="36"/>
      <c r="K22" s="369">
        <f>K21-K20</f>
        <v>0.11952170993539687</v>
      </c>
      <c r="L22" s="36"/>
      <c r="M22" s="36"/>
      <c r="N22" s="369">
        <f>N21-N20</f>
        <v>0.11639367306722492</v>
      </c>
      <c r="Q22" s="1654"/>
      <c r="R22" s="1654"/>
      <c r="S22" s="1654"/>
      <c r="T22" s="1654"/>
      <c r="U22" s="1654"/>
    </row>
    <row r="23" spans="2:21" ht="15" customHeight="1" thickBot="1" x14ac:dyDescent="0.3">
      <c r="B23" s="45"/>
      <c r="C23" s="1431"/>
      <c r="D23" s="1431"/>
      <c r="E23" s="517"/>
      <c r="F23" s="1431"/>
      <c r="G23" s="1431"/>
      <c r="H23" s="517"/>
      <c r="I23" s="1431"/>
      <c r="J23" s="1431"/>
      <c r="K23" s="517"/>
      <c r="L23" s="1431"/>
      <c r="M23" s="1431"/>
      <c r="N23" s="517"/>
      <c r="Q23" s="1654" t="s">
        <v>1100</v>
      </c>
      <c r="R23" s="1654"/>
      <c r="S23" s="1654"/>
      <c r="T23" s="1654"/>
      <c r="U23" s="1654"/>
    </row>
    <row r="24" spans="2:21" ht="29.25" customHeight="1" thickTop="1" thickBot="1" x14ac:dyDescent="0.45">
      <c r="B24" s="45"/>
      <c r="C24" s="1658" t="s">
        <v>1099</v>
      </c>
      <c r="D24" s="1661"/>
      <c r="E24" s="1661"/>
      <c r="F24" s="1661"/>
      <c r="G24" s="1661"/>
      <c r="H24" s="1661"/>
      <c r="I24" s="1661"/>
      <c r="J24" s="1661"/>
      <c r="K24" s="1661"/>
      <c r="L24" s="1661"/>
      <c r="M24" s="1662"/>
      <c r="N24" s="517"/>
      <c r="Q24" s="1455"/>
      <c r="R24" s="1455"/>
      <c r="S24" s="1455"/>
      <c r="T24" s="1455"/>
      <c r="U24" s="1455"/>
    </row>
    <row r="25" spans="2:21" ht="15" customHeight="1" thickTop="1" x14ac:dyDescent="0.25">
      <c r="B25" s="45"/>
      <c r="C25" s="1431"/>
      <c r="D25" s="1431"/>
      <c r="E25" s="517"/>
      <c r="F25" s="1431"/>
      <c r="G25" s="1431"/>
      <c r="H25" s="517"/>
      <c r="I25" s="1431"/>
      <c r="J25" s="1431"/>
      <c r="K25" s="517"/>
      <c r="L25" s="1431"/>
      <c r="M25" s="1431"/>
      <c r="N25" s="517"/>
      <c r="Q25" s="1455"/>
      <c r="R25" s="1455"/>
      <c r="S25" s="1455"/>
      <c r="T25" s="1455"/>
      <c r="U25" s="1455"/>
    </row>
    <row r="26" spans="2:21" ht="22.5" customHeight="1" thickBot="1" x14ac:dyDescent="0.3">
      <c r="B26" s="20" t="s">
        <v>1060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  <c r="Q26" s="1455"/>
      <c r="R26" s="1455"/>
      <c r="S26" s="1455"/>
      <c r="T26" s="1455"/>
      <c r="U26" s="1455"/>
    </row>
    <row r="27" spans="2:21" ht="18.75" customHeight="1" x14ac:dyDescent="0.25">
      <c r="B27" s="11" t="s">
        <v>1101</v>
      </c>
      <c r="C27" s="15">
        <f>DATOS!C6</f>
        <v>64148.639999999999</v>
      </c>
      <c r="D27" s="15">
        <f>DATOS!E6</f>
        <v>74637.47</v>
      </c>
      <c r="E27" s="15">
        <f>DATOS!G6</f>
        <v>68861.58</v>
      </c>
      <c r="F27" s="15">
        <f>DATOS!I6</f>
        <v>66085.09</v>
      </c>
      <c r="G27" s="15">
        <f>DATOS!K6</f>
        <v>64547.59</v>
      </c>
      <c r="H27" s="15">
        <f>DATOS!M6</f>
        <v>62531.09</v>
      </c>
      <c r="I27" s="15">
        <f>DATOS!O6</f>
        <v>63948.82</v>
      </c>
      <c r="J27" s="15">
        <f>DATOS!Q6</f>
        <v>59654.49</v>
      </c>
      <c r="K27" s="15">
        <f>DATOS!S6</f>
        <v>63875.39</v>
      </c>
      <c r="L27" s="15">
        <f>DATOS!U6</f>
        <v>60314.86</v>
      </c>
      <c r="M27" s="15">
        <f>DATOS!W6</f>
        <v>62043.18</v>
      </c>
      <c r="N27" s="15">
        <f>DATOS!Y6</f>
        <v>65602.17</v>
      </c>
      <c r="Q27" s="1455"/>
      <c r="R27" s="1455"/>
      <c r="S27" s="1455"/>
      <c r="T27" s="1455"/>
      <c r="U27" s="1455"/>
    </row>
    <row r="28" spans="2:21" ht="15" customHeight="1" x14ac:dyDescent="0.25">
      <c r="B28" s="71" t="s">
        <v>302</v>
      </c>
      <c r="C28" s="70">
        <f>DATOS!C3-DATOS!C12-DATOS!C16-DATOS!C17</f>
        <v>179397.01</v>
      </c>
      <c r="D28" s="70">
        <f>DATOS!E3-DATOS!E12-DATOS!E16-DATOS!E17</f>
        <v>147541.47999999998</v>
      </c>
      <c r="E28" s="70">
        <f>DATOS!G3-DATOS!G12-DATOS!G16-DATOS!G17</f>
        <v>199890.66</v>
      </c>
      <c r="F28" s="70">
        <f>DATOS!I3-DATOS!I12-DATOS!I16-DATOS!I17</f>
        <v>146622.07000000004</v>
      </c>
      <c r="G28" s="70">
        <f>DATOS!K3-DATOS!K12-DATOS!K16-DATOS!K17</f>
        <v>175585.76</v>
      </c>
      <c r="H28" s="70">
        <f>DATOS!M3-DATOS!M12-DATOS!M16-DATOS!M17</f>
        <v>226556.15999999997</v>
      </c>
      <c r="I28" s="70">
        <f>DATOS!O3-DATOS!O12-DATOS!O16-DATOS!O17</f>
        <v>227516.91999999998</v>
      </c>
      <c r="J28" s="70">
        <f>DATOS!Q3-DATOS!Q12-DATOS!Q16-DATOS!Q17</f>
        <v>29121.72</v>
      </c>
      <c r="K28" s="70">
        <f>DATOS!S3-DATOS!S12-DATOS!S16-DATOS!S17</f>
        <v>218008.72000000003</v>
      </c>
      <c r="L28" s="70">
        <f>DATOS!U3-DATOS!U12-DATOS!U16-DATOS!U17</f>
        <v>217213.91999999998</v>
      </c>
      <c r="M28" s="70">
        <f>DATOS!W3-DATOS!W12-DATOS!W16-DATOS!W17</f>
        <v>192347.88</v>
      </c>
      <c r="N28" s="70">
        <f>DATOS!Y3-DATOS!Y12-DATOS!Y16-DATOS!Y17</f>
        <v>38134.47</v>
      </c>
      <c r="Q28" s="1455"/>
      <c r="R28" s="1455"/>
      <c r="S28" s="1455"/>
      <c r="T28" s="1455"/>
      <c r="U28" s="1455"/>
    </row>
    <row r="29" spans="2:21" ht="15" customHeight="1" x14ac:dyDescent="0.25">
      <c r="B29" s="12" t="s">
        <v>73</v>
      </c>
      <c r="C29" s="366">
        <f>(C$27/C$28)</f>
        <v>0.35757920380055386</v>
      </c>
      <c r="D29" s="366">
        <f>(D$27/D$28)</f>
        <v>0.50587448356895981</v>
      </c>
      <c r="E29" s="366">
        <f t="shared" ref="E29:N29" si="2">(E$27/E$28)</f>
        <v>0.34449623609227165</v>
      </c>
      <c r="F29" s="366">
        <f t="shared" si="2"/>
        <v>0.45071720785281494</v>
      </c>
      <c r="G29" s="366">
        <f t="shared" si="2"/>
        <v>0.36761289753793241</v>
      </c>
      <c r="H29" s="366">
        <f t="shared" si="2"/>
        <v>0.27600701742119926</v>
      </c>
      <c r="I29" s="366">
        <f t="shared" si="2"/>
        <v>0.28107280988156841</v>
      </c>
      <c r="J29" s="366">
        <f t="shared" si="2"/>
        <v>2.0484535254098999</v>
      </c>
      <c r="K29" s="366">
        <f t="shared" si="2"/>
        <v>0.29299465636053451</v>
      </c>
      <c r="L29" s="366">
        <f t="shared" si="2"/>
        <v>0.27767492985716574</v>
      </c>
      <c r="M29" s="366">
        <f t="shared" si="2"/>
        <v>0.32255712930134711</v>
      </c>
      <c r="N29" s="366">
        <f t="shared" si="2"/>
        <v>1.7202853481377871</v>
      </c>
      <c r="Q29" s="1455"/>
      <c r="R29" s="1455"/>
      <c r="S29" s="1455"/>
      <c r="T29" s="1455"/>
      <c r="U29" s="1455"/>
    </row>
    <row r="30" spans="2:21" ht="15" customHeight="1" x14ac:dyDescent="0.3">
      <c r="B30" s="77" t="s">
        <v>27</v>
      </c>
      <c r="C30" s="80"/>
      <c r="D30" s="80"/>
      <c r="E30" s="368">
        <f>(C27+D27+E27)/(C28+D28+E28)</f>
        <v>0.39414616674115316</v>
      </c>
      <c r="F30" s="80"/>
      <c r="G30" s="80"/>
      <c r="H30" s="368">
        <f>(F27+G27+H27)/(F28+G28+H28)</f>
        <v>0.35199789621764355</v>
      </c>
      <c r="I30" s="80"/>
      <c r="J30" s="80"/>
      <c r="K30" s="368">
        <f>(I27+J27+K27)/(I28+J28+K28)</f>
        <v>0.39498523703997851</v>
      </c>
      <c r="L30" s="80"/>
      <c r="M30" s="80"/>
      <c r="N30" s="368">
        <f>(L27+M27+N27)/(L28+M28+N28)</f>
        <v>0.41983867768208122</v>
      </c>
      <c r="Q30" s="1455"/>
      <c r="R30" s="1455"/>
      <c r="S30" s="1455"/>
      <c r="T30" s="1455"/>
      <c r="U30" s="1455"/>
    </row>
    <row r="31" spans="2:21" ht="15" customHeight="1" x14ac:dyDescent="0.25">
      <c r="B31" s="1" t="s">
        <v>20</v>
      </c>
      <c r="C31" s="17"/>
      <c r="D31" s="17"/>
      <c r="E31" s="369">
        <v>0.43</v>
      </c>
      <c r="F31" s="17"/>
      <c r="G31" s="17"/>
      <c r="H31" s="369">
        <v>0.43</v>
      </c>
      <c r="I31" s="17"/>
      <c r="J31" s="17"/>
      <c r="K31" s="369">
        <v>0.43</v>
      </c>
      <c r="L31" s="17"/>
      <c r="M31" s="17"/>
      <c r="N31" s="369">
        <v>0.43</v>
      </c>
      <c r="Q31" s="1455"/>
      <c r="R31" s="1455"/>
      <c r="S31" s="1455"/>
      <c r="T31" s="1455"/>
      <c r="U31" s="1455"/>
    </row>
    <row r="32" spans="2:21" ht="15" customHeight="1" x14ac:dyDescent="0.25">
      <c r="B32" s="1456" t="s">
        <v>17</v>
      </c>
      <c r="C32" s="1457"/>
      <c r="D32" s="1457"/>
      <c r="E32" s="1458">
        <f>E31-E30</f>
        <v>3.5853833258846834E-2</v>
      </c>
      <c r="F32" s="1457"/>
      <c r="G32" s="1457"/>
      <c r="H32" s="1458">
        <f>H31-H30</f>
        <v>7.8002103782356447E-2</v>
      </c>
      <c r="I32" s="1457"/>
      <c r="J32" s="1457"/>
      <c r="K32" s="1458">
        <f>K31-K30</f>
        <v>3.5014762960021484E-2</v>
      </c>
      <c r="L32" s="1457"/>
      <c r="M32" s="1457"/>
      <c r="N32" s="1458">
        <f>N31-N30</f>
        <v>1.0161322317918775E-2</v>
      </c>
      <c r="Q32" s="1455"/>
      <c r="R32" s="1455"/>
      <c r="S32" s="1455"/>
      <c r="T32" s="1455"/>
      <c r="U32" s="1455"/>
    </row>
    <row r="33" spans="2:21" ht="15" customHeight="1" x14ac:dyDescent="0.25">
      <c r="B33" s="45"/>
      <c r="C33" s="1431"/>
      <c r="D33" s="1431"/>
      <c r="E33" s="517"/>
      <c r="F33" s="1431"/>
      <c r="G33" s="1431"/>
      <c r="H33" s="517"/>
      <c r="I33" s="1431"/>
      <c r="J33" s="1431"/>
      <c r="K33" s="517"/>
      <c r="L33" s="1431"/>
      <c r="M33" s="1431"/>
      <c r="N33" s="517"/>
      <c r="Q33" s="1455"/>
      <c r="R33" s="1455"/>
      <c r="S33" s="1455"/>
      <c r="T33" s="1455"/>
      <c r="U33" s="1455"/>
    </row>
    <row r="34" spans="2:21" ht="15" customHeight="1" x14ac:dyDescent="0.25">
      <c r="B34" s="45"/>
      <c r="C34" s="1431"/>
      <c r="D34" s="1431"/>
      <c r="E34" s="517"/>
      <c r="F34" s="1431"/>
      <c r="G34" s="1431"/>
      <c r="H34" s="517"/>
      <c r="I34" s="1431"/>
      <c r="J34" s="1431"/>
      <c r="K34" s="517"/>
      <c r="L34" s="1431"/>
      <c r="M34" s="1431"/>
      <c r="N34" s="517"/>
      <c r="Q34" s="1654" t="s">
        <v>54</v>
      </c>
      <c r="R34" s="1654"/>
      <c r="S34" s="1654"/>
      <c r="T34" s="1654"/>
      <c r="U34" s="1654"/>
    </row>
    <row r="35" spans="2:21" ht="15.75" thickBot="1" x14ac:dyDescent="0.3"/>
    <row r="36" spans="2:21" ht="27.75" thickTop="1" thickBot="1" x14ac:dyDescent="0.45">
      <c r="E36" s="1658" t="s">
        <v>51</v>
      </c>
      <c r="F36" s="1659"/>
      <c r="G36" s="1659"/>
      <c r="H36" s="1659"/>
      <c r="I36" s="1660"/>
    </row>
    <row r="37" spans="2:21" ht="15.75" thickTop="1" x14ac:dyDescent="0.25"/>
    <row r="38" spans="2:21" ht="15.75" thickBot="1" x14ac:dyDescent="0.3">
      <c r="B38" s="20" t="s">
        <v>1060</v>
      </c>
      <c r="C38" s="21" t="s">
        <v>0</v>
      </c>
      <c r="D38" s="21" t="s">
        <v>1</v>
      </c>
      <c r="E38" s="21" t="s">
        <v>2</v>
      </c>
      <c r="F38" s="21" t="s">
        <v>3</v>
      </c>
      <c r="G38" s="21" t="s">
        <v>4</v>
      </c>
      <c r="H38" s="21" t="s">
        <v>5</v>
      </c>
      <c r="I38" s="21" t="s">
        <v>6</v>
      </c>
      <c r="J38" s="21" t="s">
        <v>7</v>
      </c>
      <c r="K38" s="21" t="s">
        <v>8</v>
      </c>
      <c r="L38" s="21" t="s">
        <v>9</v>
      </c>
      <c r="M38" s="21" t="s">
        <v>10</v>
      </c>
      <c r="N38" s="22" t="s">
        <v>11</v>
      </c>
    </row>
    <row r="39" spans="2:21" ht="18.75" x14ac:dyDescent="0.3">
      <c r="B39" s="12" t="s">
        <v>276</v>
      </c>
      <c r="C39" s="526">
        <v>1</v>
      </c>
      <c r="D39" s="526">
        <v>1</v>
      </c>
      <c r="E39" s="526">
        <v>1</v>
      </c>
      <c r="F39" s="526">
        <f>DATOS!I$67</f>
        <v>0</v>
      </c>
      <c r="G39" s="526">
        <f>DATOS!K$67</f>
        <v>0</v>
      </c>
      <c r="H39" s="526">
        <v>3</v>
      </c>
      <c r="I39" s="526">
        <f>DATOS!O$67</f>
        <v>0</v>
      </c>
      <c r="J39" s="526">
        <v>1</v>
      </c>
      <c r="K39" s="526">
        <v>1</v>
      </c>
      <c r="L39" s="526">
        <v>1</v>
      </c>
      <c r="M39" s="526">
        <f>DATOS!W$67</f>
        <v>0</v>
      </c>
      <c r="N39" s="526">
        <v>1</v>
      </c>
    </row>
    <row r="40" spans="2:21" ht="18.75" x14ac:dyDescent="0.3">
      <c r="B40" s="77" t="s">
        <v>27</v>
      </c>
      <c r="C40" s="85"/>
      <c r="D40" s="85"/>
      <c r="E40" s="83">
        <f>C39+D39+E39</f>
        <v>3</v>
      </c>
      <c r="F40" s="85"/>
      <c r="G40" s="85"/>
      <c r="H40" s="83">
        <f>F39+G39+H39</f>
        <v>3</v>
      </c>
      <c r="I40" s="85"/>
      <c r="J40" s="85"/>
      <c r="K40" s="83">
        <f>I39+J39+K39</f>
        <v>2</v>
      </c>
      <c r="L40" s="85"/>
      <c r="M40" s="85"/>
      <c r="N40" s="83">
        <f>L39+M39+N39</f>
        <v>2</v>
      </c>
    </row>
    <row r="41" spans="2:21" ht="18.75" x14ac:dyDescent="0.3">
      <c r="B41" s="1" t="s">
        <v>20</v>
      </c>
      <c r="C41" s="13"/>
      <c r="D41" s="13"/>
      <c r="E41" s="527">
        <v>2</v>
      </c>
      <c r="F41" s="13"/>
      <c r="G41" s="13"/>
      <c r="H41" s="527">
        <v>2</v>
      </c>
      <c r="I41" s="13"/>
      <c r="J41" s="13"/>
      <c r="K41" s="527">
        <v>2</v>
      </c>
      <c r="L41" s="13"/>
      <c r="M41" s="13"/>
      <c r="N41" s="527">
        <v>2</v>
      </c>
    </row>
    <row r="42" spans="2:21" ht="15" customHeight="1" x14ac:dyDescent="0.3">
      <c r="B42" s="1" t="s">
        <v>17</v>
      </c>
      <c r="C42" s="62"/>
      <c r="D42" s="62"/>
      <c r="E42" s="528">
        <f>E40-E41</f>
        <v>1</v>
      </c>
      <c r="F42" s="62"/>
      <c r="G42" s="62"/>
      <c r="H42" s="528">
        <f>H40-H41</f>
        <v>1</v>
      </c>
      <c r="I42" s="62"/>
      <c r="J42" s="62"/>
      <c r="K42" s="528">
        <f>K40-K41</f>
        <v>0</v>
      </c>
      <c r="L42" s="62"/>
      <c r="M42" s="62"/>
      <c r="N42" s="528">
        <f>N39-N41</f>
        <v>-1</v>
      </c>
      <c r="Q42" s="1654" t="s">
        <v>393</v>
      </c>
      <c r="R42" s="1654"/>
      <c r="S42" s="1654"/>
      <c r="T42" s="1654"/>
      <c r="U42" s="1654"/>
    </row>
    <row r="43" spans="2:21" ht="15.75" thickBot="1" x14ac:dyDescent="0.3">
      <c r="Q43" s="1654"/>
      <c r="R43" s="1654"/>
      <c r="S43" s="1654"/>
      <c r="T43" s="1654"/>
    </row>
    <row r="44" spans="2:21" ht="27.75" thickTop="1" thickBot="1" x14ac:dyDescent="0.45">
      <c r="E44" s="1658" t="s">
        <v>394</v>
      </c>
      <c r="F44" s="1659"/>
      <c r="G44" s="1659"/>
      <c r="H44" s="1659"/>
      <c r="I44" s="1660"/>
      <c r="Q44" s="518"/>
      <c r="R44" s="518"/>
      <c r="S44" s="518"/>
      <c r="T44" s="518"/>
    </row>
    <row r="45" spans="2:21" ht="16.5" thickTop="1" thickBot="1" x14ac:dyDescent="0.3">
      <c r="Q45" s="518"/>
      <c r="R45" s="518"/>
      <c r="S45" s="518"/>
      <c r="T45" s="518"/>
    </row>
    <row r="46" spans="2:21" ht="16.5" thickTop="1" thickBot="1" x14ac:dyDescent="0.3">
      <c r="B46" s="1941" t="s">
        <v>1060</v>
      </c>
      <c r="C46" s="1942" t="s">
        <v>49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Q46" s="518"/>
      <c r="R46" s="518"/>
      <c r="S46" s="518"/>
      <c r="T46" s="518"/>
    </row>
    <row r="47" spans="2:21" ht="18.75" x14ac:dyDescent="0.3">
      <c r="B47" s="1943" t="s">
        <v>51</v>
      </c>
      <c r="C47" s="1944">
        <v>10</v>
      </c>
      <c r="D47" s="1937"/>
      <c r="E47" s="1937"/>
      <c r="F47" s="1937"/>
      <c r="G47" s="1937"/>
      <c r="H47" s="1937"/>
      <c r="I47" s="1937"/>
      <c r="J47" s="1937"/>
      <c r="K47" s="1937"/>
      <c r="L47" s="1937"/>
      <c r="M47" s="1937"/>
      <c r="N47" s="1937"/>
      <c r="Q47" s="518"/>
      <c r="R47" s="518"/>
      <c r="S47" s="518"/>
      <c r="T47" s="518"/>
    </row>
    <row r="48" spans="2:21" ht="18.75" x14ac:dyDescent="0.3">
      <c r="B48" s="1945" t="s">
        <v>394</v>
      </c>
      <c r="C48" s="1946">
        <v>9</v>
      </c>
      <c r="D48" s="1937"/>
      <c r="E48" s="1937"/>
      <c r="F48" s="1937"/>
      <c r="G48" s="1937"/>
      <c r="H48" s="1937"/>
      <c r="I48" s="1937"/>
      <c r="J48" s="1937"/>
      <c r="K48" s="1937"/>
      <c r="L48" s="1937"/>
      <c r="M48" s="1937"/>
      <c r="N48" s="1937"/>
      <c r="Q48" s="1488"/>
      <c r="R48" s="1488"/>
      <c r="S48" s="1488"/>
      <c r="T48" s="1488"/>
    </row>
    <row r="49" spans="2:20" ht="18.75" x14ac:dyDescent="0.3">
      <c r="B49" s="1947" t="s">
        <v>27</v>
      </c>
      <c r="C49" s="1949">
        <f>C48/C47</f>
        <v>0.9</v>
      </c>
      <c r="D49" s="1938"/>
      <c r="E49" s="1939"/>
      <c r="F49" s="1938"/>
      <c r="G49" s="1938"/>
      <c r="H49" s="1939"/>
      <c r="I49" s="1938"/>
      <c r="J49" s="1938"/>
      <c r="K49" s="1939"/>
      <c r="L49" s="1938"/>
      <c r="M49" s="1938"/>
      <c r="N49" s="1939"/>
      <c r="Q49" s="518"/>
      <c r="R49" s="518"/>
      <c r="S49" s="518"/>
      <c r="T49" s="518"/>
    </row>
    <row r="50" spans="2:20" ht="19.5" thickBot="1" x14ac:dyDescent="0.35">
      <c r="B50" s="1948" t="s">
        <v>20</v>
      </c>
      <c r="C50" s="1950">
        <v>0.3</v>
      </c>
      <c r="D50" s="46"/>
      <c r="E50" s="1940"/>
      <c r="F50" s="46"/>
      <c r="G50" s="46"/>
      <c r="H50" s="1940"/>
      <c r="I50" s="46"/>
      <c r="J50" s="46"/>
      <c r="K50" s="1940"/>
      <c r="L50" s="46"/>
      <c r="M50" s="46"/>
      <c r="N50" s="1940"/>
      <c r="Q50" s="518"/>
      <c r="R50" s="518"/>
      <c r="S50" s="518"/>
      <c r="T50" s="518"/>
    </row>
    <row r="51" spans="2:20" ht="18.75" x14ac:dyDescent="0.3">
      <c r="B51" s="1943" t="s">
        <v>17</v>
      </c>
      <c r="C51" s="1951">
        <f>C49-C50</f>
        <v>0.60000000000000009</v>
      </c>
      <c r="D51" s="47"/>
      <c r="E51" s="1935"/>
      <c r="F51" s="47"/>
      <c r="G51" s="47"/>
      <c r="H51" s="1935"/>
      <c r="I51" s="47"/>
      <c r="J51" s="47"/>
      <c r="K51" s="1935"/>
      <c r="L51" s="47"/>
      <c r="M51" s="47"/>
      <c r="N51" s="1935"/>
      <c r="Q51" s="518"/>
      <c r="R51" s="518"/>
      <c r="S51" s="518"/>
      <c r="T51" s="518"/>
    </row>
    <row r="52" spans="2:20" ht="15.75" thickBot="1" x14ac:dyDescent="0.3">
      <c r="Q52" s="1654" t="s">
        <v>52</v>
      </c>
      <c r="R52" s="1654"/>
      <c r="S52" s="1654"/>
      <c r="T52" s="1654"/>
    </row>
    <row r="53" spans="2:20" ht="27.75" thickTop="1" thickBot="1" x14ac:dyDescent="0.45">
      <c r="E53" s="1658" t="s">
        <v>44</v>
      </c>
      <c r="F53" s="1659"/>
      <c r="G53" s="1659"/>
      <c r="H53" s="1659"/>
      <c r="I53" s="1659"/>
      <c r="J53" s="1663"/>
    </row>
    <row r="54" spans="2:20" ht="15.75" thickTop="1" x14ac:dyDescent="0.25"/>
    <row r="55" spans="2:20" ht="15.75" customHeight="1" thickBot="1" x14ac:dyDescent="0.3">
      <c r="B55" s="20" t="s">
        <v>1060</v>
      </c>
      <c r="C55" s="1936" t="s">
        <v>49</v>
      </c>
      <c r="D55" s="1459"/>
      <c r="E55" s="1459"/>
      <c r="F55" s="1467"/>
      <c r="G55" s="1467"/>
      <c r="H55" s="1467"/>
      <c r="I55" s="1467"/>
      <c r="J55" s="1467"/>
      <c r="K55" s="1467"/>
      <c r="L55" s="1467"/>
      <c r="M55" s="1467"/>
      <c r="N55" s="1467"/>
    </row>
    <row r="56" spans="2:20" x14ac:dyDescent="0.25">
      <c r="B56" s="73" t="s">
        <v>1103</v>
      </c>
      <c r="C56" s="1952">
        <f>DATOS!AA3</f>
        <v>2778034.58</v>
      </c>
      <c r="D56" s="1460"/>
      <c r="E56" s="1460"/>
      <c r="F56" s="1468"/>
      <c r="G56" s="1468"/>
      <c r="H56" s="1468"/>
      <c r="I56" s="1468"/>
      <c r="J56" s="1468"/>
      <c r="K56" s="1468"/>
      <c r="L56" s="1468"/>
      <c r="M56" s="1468"/>
      <c r="N56" s="1468"/>
    </row>
    <row r="57" spans="2:20" x14ac:dyDescent="0.25">
      <c r="B57" s="12" t="s">
        <v>1102</v>
      </c>
      <c r="C57" s="1953">
        <v>2505026.5499999998</v>
      </c>
      <c r="D57" s="1461"/>
      <c r="E57" s="1461"/>
      <c r="F57" s="1469"/>
      <c r="G57" s="1469"/>
      <c r="H57" s="1469"/>
      <c r="I57" s="1469"/>
      <c r="J57" s="1469"/>
      <c r="K57" s="1469"/>
      <c r="L57" s="1469"/>
      <c r="M57" s="1469"/>
      <c r="N57" s="1469"/>
    </row>
    <row r="58" spans="2:20" ht="18.75" x14ac:dyDescent="0.3">
      <c r="B58" s="77" t="s">
        <v>27</v>
      </c>
      <c r="C58" s="1954">
        <f>(C56/C57)-1</f>
        <v>0.10898408641616997</v>
      </c>
      <c r="D58" s="1462"/>
      <c r="E58" s="1463"/>
      <c r="F58" s="1470"/>
      <c r="G58" s="1471"/>
      <c r="H58" s="1471"/>
      <c r="I58" s="1472"/>
      <c r="J58" s="1470"/>
      <c r="K58" s="1472"/>
      <c r="L58" s="1470"/>
      <c r="M58" s="1470"/>
      <c r="N58" s="1470"/>
    </row>
    <row r="59" spans="2:20" x14ac:dyDescent="0.25">
      <c r="B59" s="1" t="s">
        <v>20</v>
      </c>
      <c r="C59" s="1955">
        <v>0.02</v>
      </c>
      <c r="D59" s="1464"/>
      <c r="E59" s="1464"/>
      <c r="F59" s="1473"/>
      <c r="G59" s="1473"/>
      <c r="H59" s="1473"/>
      <c r="I59" s="1473"/>
      <c r="J59" s="1473"/>
      <c r="K59" s="1473"/>
      <c r="L59" s="1473"/>
      <c r="M59" s="1473"/>
      <c r="N59" s="1473"/>
    </row>
    <row r="60" spans="2:20" x14ac:dyDescent="0.25">
      <c r="B60" s="8" t="s">
        <v>17</v>
      </c>
      <c r="C60" s="1956">
        <f>C58-C59</f>
        <v>8.8984086416169964E-2</v>
      </c>
      <c r="D60" s="1465"/>
      <c r="E60" s="1466"/>
      <c r="F60" s="1474"/>
      <c r="G60" s="1475"/>
      <c r="H60" s="1475"/>
      <c r="I60" s="1473"/>
      <c r="J60" s="1474"/>
      <c r="K60" s="1473"/>
      <c r="L60" s="1474"/>
      <c r="M60" s="1474"/>
      <c r="N60" s="1474"/>
      <c r="R60" s="1654"/>
      <c r="S60" s="1654"/>
    </row>
    <row r="61" spans="2:20" x14ac:dyDescent="0.25"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</row>
    <row r="62" spans="2:20" ht="27" thickBot="1" x14ac:dyDescent="0.45">
      <c r="E62" s="1957" t="s">
        <v>47</v>
      </c>
      <c r="F62" s="1958"/>
      <c r="G62" s="1958"/>
      <c r="H62" s="1958"/>
      <c r="I62" s="1959"/>
      <c r="Q62" s="1654" t="s">
        <v>47</v>
      </c>
      <c r="R62" s="1654"/>
      <c r="S62" s="1654"/>
      <c r="T62" s="1654"/>
    </row>
    <row r="63" spans="2:20" ht="15.75" thickTop="1" x14ac:dyDescent="0.25">
      <c r="R63" s="1654"/>
      <c r="S63" s="1664"/>
    </row>
    <row r="64" spans="2:20" x14ac:dyDescent="0.25">
      <c r="B64" s="66" t="s">
        <v>1060</v>
      </c>
      <c r="C64" s="65" t="s">
        <v>0</v>
      </c>
      <c r="D64" s="65" t="s">
        <v>1</v>
      </c>
      <c r="E64" s="65" t="s">
        <v>2</v>
      </c>
      <c r="F64" s="65" t="s">
        <v>3</v>
      </c>
      <c r="G64" s="65" t="s">
        <v>4</v>
      </c>
      <c r="H64" s="65" t="s">
        <v>5</v>
      </c>
      <c r="I64" s="65" t="s">
        <v>6</v>
      </c>
      <c r="J64" s="65" t="s">
        <v>7</v>
      </c>
      <c r="K64" s="65" t="s">
        <v>8</v>
      </c>
      <c r="L64" s="65" t="s">
        <v>9</v>
      </c>
      <c r="M64" s="65" t="s">
        <v>10</v>
      </c>
      <c r="N64" s="67" t="s">
        <v>11</v>
      </c>
    </row>
    <row r="65" spans="2:20" x14ac:dyDescent="0.25">
      <c r="B65" s="481" t="s">
        <v>375</v>
      </c>
      <c r="C65" s="975">
        <f>DATOS!C$3</f>
        <v>238460.23</v>
      </c>
      <c r="D65" s="975">
        <f>DATOS!E$3</f>
        <v>215170.18</v>
      </c>
      <c r="E65" s="975">
        <f>DATOS!G$3</f>
        <v>249933.64</v>
      </c>
      <c r="F65" s="975">
        <f>DATOS!I$3</f>
        <v>213930.04</v>
      </c>
      <c r="G65" s="975">
        <f>DATOS!K$3</f>
        <v>249029.69</v>
      </c>
      <c r="H65" s="975">
        <f>DATOS!M$3</f>
        <v>300128.49</v>
      </c>
      <c r="I65" s="975">
        <f>DATOS!O$3</f>
        <v>329301.73</v>
      </c>
      <c r="J65" s="975">
        <f>DATOS!Q$3</f>
        <v>60396.19</v>
      </c>
      <c r="K65" s="975">
        <f>DATOS!S$3</f>
        <v>285699.76</v>
      </c>
      <c r="L65" s="975">
        <f>DATOS!U$3</f>
        <v>273689.55</v>
      </c>
      <c r="M65" s="975">
        <f>DATOS!W$3</f>
        <v>249051.41</v>
      </c>
      <c r="N65" s="975">
        <f>DATOS!Y$3</f>
        <v>113243.67</v>
      </c>
    </row>
    <row r="66" spans="2:20" x14ac:dyDescent="0.25">
      <c r="B66" s="481" t="s">
        <v>376</v>
      </c>
      <c r="C66" s="482">
        <f>DATOS!C$81</f>
        <v>202800.24</v>
      </c>
      <c r="D66" s="482">
        <f>DATOS!E$81</f>
        <v>179570.22</v>
      </c>
      <c r="E66" s="482">
        <f>DATOS!G$81</f>
        <v>172276.41</v>
      </c>
      <c r="F66" s="482">
        <f>DATOS!I$81</f>
        <v>178407.63</v>
      </c>
      <c r="G66" s="482">
        <f>DATOS!K$81</f>
        <v>192445.89</v>
      </c>
      <c r="H66" s="482">
        <f>DATOS!M$81</f>
        <v>255760.11</v>
      </c>
      <c r="I66" s="482">
        <f>DATOS!O$81</f>
        <v>275842.51</v>
      </c>
      <c r="J66" s="482">
        <f>DATOS!Q$81</f>
        <v>55028.38</v>
      </c>
      <c r="K66" s="482">
        <f>DATOS!S$81</f>
        <v>225754.9</v>
      </c>
      <c r="L66" s="482">
        <f>DATOS!U$81</f>
        <v>222328.63</v>
      </c>
      <c r="M66" s="482">
        <f>DATOS!W$81</f>
        <v>202743.36</v>
      </c>
      <c r="N66" s="482">
        <f>DATOS!Y$81</f>
        <v>129278.45</v>
      </c>
    </row>
    <row r="67" spans="2:20" x14ac:dyDescent="0.25">
      <c r="B67" s="481" t="s">
        <v>377</v>
      </c>
      <c r="C67" s="369">
        <f>C$66/C$65</f>
        <v>0.85045728589626868</v>
      </c>
      <c r="D67" s="369">
        <f t="shared" ref="D67:N67" si="3">D$66/D$65</f>
        <v>0.83454975034179923</v>
      </c>
      <c r="E67" s="369">
        <f t="shared" si="3"/>
        <v>0.6892886047672494</v>
      </c>
      <c r="F67" s="369">
        <f t="shared" si="3"/>
        <v>0.83395314655202235</v>
      </c>
      <c r="G67" s="369">
        <f t="shared" si="3"/>
        <v>0.77278291596475912</v>
      </c>
      <c r="H67" s="369">
        <f t="shared" si="3"/>
        <v>0.85216871613887768</v>
      </c>
      <c r="I67" s="369">
        <f t="shared" si="3"/>
        <v>0.83765885469232126</v>
      </c>
      <c r="J67" s="369">
        <f t="shared" si="3"/>
        <v>0.91112336721902487</v>
      </c>
      <c r="K67" s="369">
        <f t="shared" si="3"/>
        <v>0.79018232286929457</v>
      </c>
      <c r="L67" s="369">
        <f t="shared" si="3"/>
        <v>0.81233876119859172</v>
      </c>
      <c r="M67" s="369">
        <f t="shared" si="3"/>
        <v>0.8140622853731283</v>
      </c>
      <c r="N67" s="369">
        <f t="shared" si="3"/>
        <v>1.1415953757062094</v>
      </c>
    </row>
    <row r="68" spans="2:20" ht="18.75" x14ac:dyDescent="0.3">
      <c r="B68" s="77" t="s">
        <v>27</v>
      </c>
      <c r="C68" s="81"/>
      <c r="D68" s="81"/>
      <c r="E68" s="368">
        <f>((C66+D66+E66)/(C65+D65+E65))</f>
        <v>0.78833884420331024</v>
      </c>
      <c r="F68" s="81"/>
      <c r="G68" s="81"/>
      <c r="H68" s="368">
        <f>((F66+G66+H66)/(F65+G65+H65))</f>
        <v>0.82115489870882818</v>
      </c>
      <c r="I68" s="81"/>
      <c r="J68" s="81"/>
      <c r="K68" s="368">
        <f>((I66+J66+K66)/(I65+J65+K65))</f>
        <v>0.82414525024723229</v>
      </c>
      <c r="L68" s="81"/>
      <c r="M68" s="81"/>
      <c r="N68" s="79">
        <f>((L66+M66+N66)/(L65+M65+N65))</f>
        <v>0.87164125334286768</v>
      </c>
    </row>
    <row r="69" spans="2:20" x14ac:dyDescent="0.25">
      <c r="B69" s="1" t="s">
        <v>20</v>
      </c>
      <c r="C69" s="17"/>
      <c r="D69" s="17"/>
      <c r="E69" s="483">
        <v>0.85</v>
      </c>
      <c r="F69" s="17"/>
      <c r="G69" s="17"/>
      <c r="H69" s="483">
        <v>0.85</v>
      </c>
      <c r="I69" s="17"/>
      <c r="J69" s="17"/>
      <c r="K69" s="483">
        <v>0.85</v>
      </c>
      <c r="L69" s="17"/>
      <c r="M69" s="17"/>
      <c r="N69" s="483">
        <v>0.85</v>
      </c>
      <c r="T69" s="25"/>
    </row>
    <row r="70" spans="2:20" x14ac:dyDescent="0.25">
      <c r="B70" s="1" t="s">
        <v>17</v>
      </c>
      <c r="C70" s="36"/>
      <c r="D70" s="36"/>
      <c r="E70" s="369">
        <f>E69-E68</f>
        <v>6.1661155796689737E-2</v>
      </c>
      <c r="F70" s="36"/>
      <c r="G70" s="36"/>
      <c r="H70" s="366">
        <f>H69-H68</f>
        <v>2.8845101291171793E-2</v>
      </c>
      <c r="I70" s="36"/>
      <c r="J70" s="36"/>
      <c r="K70" s="369">
        <f>K69-K68</f>
        <v>2.5854749752767692E-2</v>
      </c>
      <c r="L70" s="36"/>
      <c r="M70" s="36"/>
      <c r="N70" s="369">
        <f>N69-N68</f>
        <v>-2.1641253342867706E-2</v>
      </c>
    </row>
    <row r="71" spans="2:20" ht="15.75" thickBot="1" x14ac:dyDescent="0.3"/>
    <row r="72" spans="2:20" ht="27.75" customHeight="1" thickTop="1" thickBot="1" x14ac:dyDescent="0.45">
      <c r="C72" s="38"/>
      <c r="D72" s="1658" t="s">
        <v>48</v>
      </c>
      <c r="E72" s="1659"/>
      <c r="F72" s="1659"/>
      <c r="G72" s="1659"/>
      <c r="H72" s="1659"/>
      <c r="I72" s="1659"/>
      <c r="J72" s="1660"/>
      <c r="K72" s="39"/>
      <c r="L72" s="39"/>
      <c r="M72" s="39"/>
      <c r="Q72" s="1654"/>
      <c r="R72" s="1654"/>
      <c r="S72" s="1654"/>
      <c r="T72" s="1654"/>
    </row>
    <row r="73" spans="2:20" ht="15.75" thickTop="1" x14ac:dyDescent="0.25">
      <c r="Q73" s="1654" t="s">
        <v>53</v>
      </c>
      <c r="R73" s="1654"/>
      <c r="S73" s="1654"/>
      <c r="T73" s="1654"/>
    </row>
    <row r="74" spans="2:20" ht="15.75" thickBot="1" x14ac:dyDescent="0.3">
      <c r="B74" s="40" t="s">
        <v>1060</v>
      </c>
      <c r="C74" s="40" t="s">
        <v>49</v>
      </c>
    </row>
    <row r="75" spans="2:20" ht="18.75" x14ac:dyDescent="0.3">
      <c r="B75" s="77" t="s">
        <v>27</v>
      </c>
      <c r="C75" s="368">
        <f>DATOS!Y69</f>
        <v>9.1899999999999996E-2</v>
      </c>
    </row>
    <row r="76" spans="2:20" x14ac:dyDescent="0.25">
      <c r="B76" s="1" t="s">
        <v>20</v>
      </c>
      <c r="C76" s="686">
        <v>0.06</v>
      </c>
    </row>
    <row r="77" spans="2:20" x14ac:dyDescent="0.25">
      <c r="B77" s="8" t="s">
        <v>17</v>
      </c>
      <c r="C77" s="9">
        <f>C75-C76</f>
        <v>3.1899999999999998E-2</v>
      </c>
    </row>
    <row r="79" spans="2:20" ht="26.25" x14ac:dyDescent="0.4">
      <c r="C79" s="480"/>
      <c r="D79" s="480"/>
      <c r="E79" s="480"/>
      <c r="F79" s="480"/>
      <c r="G79" s="480"/>
      <c r="H79" s="480"/>
      <c r="I79" s="480"/>
      <c r="J79" s="480"/>
      <c r="K79" s="480"/>
      <c r="L79" s="480"/>
      <c r="M79" s="480"/>
    </row>
    <row r="80" spans="2:20" x14ac:dyDescent="0.25">
      <c r="Q80" s="1654"/>
      <c r="R80" s="1654"/>
      <c r="S80" s="1654"/>
      <c r="T80" s="1654"/>
    </row>
    <row r="81" spans="2:21" ht="15.75" thickBot="1" x14ac:dyDescent="0.3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</row>
    <row r="82" spans="2:21" ht="27.75" thickTop="1" thickBot="1" x14ac:dyDescent="0.45">
      <c r="C82" s="38"/>
      <c r="D82" s="1658" t="s">
        <v>396</v>
      </c>
      <c r="E82" s="1659"/>
      <c r="F82" s="1659"/>
      <c r="G82" s="1659"/>
      <c r="H82" s="1659"/>
      <c r="I82" s="1659"/>
      <c r="J82" s="1660"/>
      <c r="K82" s="44"/>
      <c r="L82" s="44"/>
      <c r="M82" s="44"/>
      <c r="N82" s="44"/>
    </row>
    <row r="83" spans="2:21" ht="15.75" thickTop="1" x14ac:dyDescent="0.25">
      <c r="K83" s="46"/>
      <c r="L83" s="46"/>
      <c r="M83" s="46"/>
      <c r="N83" s="46"/>
    </row>
    <row r="84" spans="2:21" ht="15.75" thickBot="1" x14ac:dyDescent="0.3">
      <c r="B84" s="40" t="s">
        <v>1060</v>
      </c>
      <c r="C84" s="40" t="s">
        <v>49</v>
      </c>
      <c r="K84" s="47"/>
      <c r="L84" s="47"/>
      <c r="M84" s="47"/>
      <c r="N84" s="47"/>
      <c r="Q84" s="1665" t="s">
        <v>396</v>
      </c>
      <c r="R84" s="1665"/>
      <c r="S84" s="1665"/>
      <c r="T84" s="1665"/>
      <c r="U84" s="1665"/>
    </row>
    <row r="85" spans="2:21" ht="18.75" x14ac:dyDescent="0.3">
      <c r="B85" s="77" t="s">
        <v>27</v>
      </c>
      <c r="C85" s="368">
        <f>DATOS!Y70</f>
        <v>0</v>
      </c>
      <c r="R85" s="1654"/>
      <c r="S85" s="1654"/>
      <c r="T85" s="1654"/>
      <c r="U85" s="1654"/>
    </row>
    <row r="86" spans="2:21" x14ac:dyDescent="0.25">
      <c r="B86" s="1" t="s">
        <v>20</v>
      </c>
      <c r="C86" s="686">
        <v>0.06</v>
      </c>
    </row>
    <row r="87" spans="2:21" x14ac:dyDescent="0.25">
      <c r="B87" s="8" t="s">
        <v>17</v>
      </c>
      <c r="C87" s="370">
        <f>C86-C85</f>
        <v>0.06</v>
      </c>
    </row>
    <row r="88" spans="2:21" x14ac:dyDescent="0.25"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2:21" x14ac:dyDescent="0.25"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Q89" s="1654"/>
      <c r="R89" s="1654"/>
      <c r="S89" s="1654"/>
      <c r="T89" s="1654"/>
    </row>
    <row r="90" spans="2:21" x14ac:dyDescent="0.25">
      <c r="B90" s="48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</row>
    <row r="91" spans="2:21" x14ac:dyDescent="0.25"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</row>
    <row r="92" spans="2:21" x14ac:dyDescent="0.2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21" x14ac:dyDescent="0.25">
      <c r="B93" s="45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</row>
    <row r="94" spans="2:21" x14ac:dyDescent="0.25">
      <c r="B94" s="45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</row>
    <row r="97" spans="2:21" x14ac:dyDescent="0.25">
      <c r="R97" s="1665"/>
      <c r="S97" s="1665"/>
      <c r="T97" s="1665"/>
      <c r="U97" s="1665"/>
    </row>
    <row r="99" spans="2:21" ht="15.75" thickBot="1" x14ac:dyDescent="0.3"/>
    <row r="100" spans="2:21" ht="35.25" customHeight="1" thickTop="1" thickBot="1" x14ac:dyDescent="0.3">
      <c r="D100" s="1655" t="s">
        <v>1107</v>
      </c>
      <c r="E100" s="1656"/>
      <c r="F100" s="1656"/>
      <c r="G100" s="1656"/>
      <c r="H100" s="1656"/>
      <c r="I100" s="1656"/>
      <c r="J100" s="1657"/>
      <c r="Q100" s="1665" t="s">
        <v>1109</v>
      </c>
      <c r="R100" s="1666"/>
      <c r="S100" s="1666"/>
      <c r="T100" s="1666"/>
      <c r="U100" s="1666"/>
    </row>
    <row r="101" spans="2:21" ht="15.75" thickTop="1" x14ac:dyDescent="0.25"/>
    <row r="102" spans="2:21" ht="15.75" thickBot="1" x14ac:dyDescent="0.3">
      <c r="B102" s="20" t="s">
        <v>1060</v>
      </c>
      <c r="C102" s="21" t="s">
        <v>0</v>
      </c>
      <c r="D102" s="21" t="s">
        <v>1</v>
      </c>
      <c r="E102" s="21" t="s">
        <v>2</v>
      </c>
      <c r="F102" s="21" t="s">
        <v>3</v>
      </c>
      <c r="G102" s="21" t="s">
        <v>4</v>
      </c>
      <c r="H102" s="21" t="s">
        <v>5</v>
      </c>
      <c r="I102" s="21" t="s">
        <v>6</v>
      </c>
      <c r="J102" s="21" t="s">
        <v>7</v>
      </c>
      <c r="K102" s="21" t="s">
        <v>8</v>
      </c>
      <c r="L102" s="21" t="s">
        <v>9</v>
      </c>
      <c r="M102" s="21" t="s">
        <v>10</v>
      </c>
      <c r="N102" s="22" t="s">
        <v>11</v>
      </c>
    </row>
    <row r="103" spans="2:21" ht="18.75" x14ac:dyDescent="0.3">
      <c r="B103" s="12" t="s">
        <v>1108</v>
      </c>
      <c r="C103" s="526"/>
      <c r="D103" s="526"/>
      <c r="E103" s="526">
        <v>11</v>
      </c>
      <c r="F103" s="526"/>
      <c r="G103" s="526"/>
      <c r="H103" s="526">
        <v>80</v>
      </c>
      <c r="I103" s="526"/>
      <c r="J103" s="526"/>
      <c r="K103" s="526">
        <v>76</v>
      </c>
      <c r="L103" s="526"/>
      <c r="M103" s="526"/>
      <c r="N103" s="526">
        <v>13</v>
      </c>
    </row>
    <row r="104" spans="2:21" ht="18.75" x14ac:dyDescent="0.3">
      <c r="B104" s="77" t="s">
        <v>27</v>
      </c>
      <c r="C104" s="85"/>
      <c r="D104" s="85"/>
      <c r="E104" s="83">
        <f>C103+D103+E103</f>
        <v>11</v>
      </c>
      <c r="F104" s="85"/>
      <c r="G104" s="85"/>
      <c r="H104" s="83">
        <f>F103+G103+H103</f>
        <v>80</v>
      </c>
      <c r="I104" s="85"/>
      <c r="J104" s="85"/>
      <c r="K104" s="83">
        <f>I103+J103+K103</f>
        <v>76</v>
      </c>
      <c r="L104" s="85"/>
      <c r="M104" s="85"/>
      <c r="N104" s="83">
        <f>L103+M103+N103</f>
        <v>13</v>
      </c>
    </row>
    <row r="105" spans="2:21" ht="18.75" x14ac:dyDescent="0.3">
      <c r="B105" s="1" t="s">
        <v>20</v>
      </c>
      <c r="C105" s="13"/>
      <c r="D105" s="13"/>
      <c r="E105" s="527">
        <v>10</v>
      </c>
      <c r="F105" s="13"/>
      <c r="G105" s="13"/>
      <c r="H105" s="527">
        <v>10</v>
      </c>
      <c r="I105" s="13"/>
      <c r="J105" s="13"/>
      <c r="K105" s="527">
        <v>10</v>
      </c>
      <c r="L105" s="13"/>
      <c r="M105" s="13"/>
      <c r="N105" s="527">
        <v>10</v>
      </c>
    </row>
    <row r="106" spans="2:21" ht="18.75" x14ac:dyDescent="0.3">
      <c r="B106" s="1" t="s">
        <v>17</v>
      </c>
      <c r="C106" s="62"/>
      <c r="D106" s="62"/>
      <c r="E106" s="62">
        <f>E104-E105</f>
        <v>1</v>
      </c>
      <c r="F106" s="62"/>
      <c r="G106" s="62"/>
      <c r="H106" s="62">
        <f>H104-H105</f>
        <v>70</v>
      </c>
      <c r="I106" s="62"/>
      <c r="J106" s="62"/>
      <c r="K106" s="62">
        <f>K104-K105</f>
        <v>66</v>
      </c>
      <c r="L106" s="62"/>
      <c r="M106" s="62"/>
      <c r="N106" s="528">
        <f>N104-N105</f>
        <v>3</v>
      </c>
    </row>
  </sheetData>
  <mergeCells count="32">
    <mergeCell ref="D100:J100"/>
    <mergeCell ref="D82:J82"/>
    <mergeCell ref="Q84:U84"/>
    <mergeCell ref="Q89:T89"/>
    <mergeCell ref="R85:U85"/>
    <mergeCell ref="R97:U97"/>
    <mergeCell ref="Q100:U100"/>
    <mergeCell ref="Q52:T52"/>
    <mergeCell ref="Q80:T80"/>
    <mergeCell ref="Q73:T73"/>
    <mergeCell ref="E44:I44"/>
    <mergeCell ref="Q62:T62"/>
    <mergeCell ref="D72:J72"/>
    <mergeCell ref="E53:J53"/>
    <mergeCell ref="R63:S63"/>
    <mergeCell ref="E62:I62"/>
    <mergeCell ref="Q72:T72"/>
    <mergeCell ref="R60:S60"/>
    <mergeCell ref="R1:S1"/>
    <mergeCell ref="R20:S20"/>
    <mergeCell ref="Q43:T43"/>
    <mergeCell ref="E4:I4"/>
    <mergeCell ref="E36:I36"/>
    <mergeCell ref="P17:U17"/>
    <mergeCell ref="P13:U13"/>
    <mergeCell ref="P12:U12"/>
    <mergeCell ref="C14:M14"/>
    <mergeCell ref="Q22:U22"/>
    <mergeCell ref="Q42:U42"/>
    <mergeCell ref="Q34:U34"/>
    <mergeCell ref="C24:M24"/>
    <mergeCell ref="Q23:U23"/>
  </mergeCells>
  <pageMargins left="0.7" right="0.7" top="0.75" bottom="0.75" header="0.3" footer="0.3"/>
  <pageSetup paperSize="9" orientation="portrait" r:id="rId1"/>
  <ignoredErrors>
    <ignoredError sqref="H9:N9 H19:N21 N67 K68 K70 H11:N12 H10:M10 H22:M22" evalError="1"/>
    <ignoredError sqref="C65:N66 E104:E105 H105 K105 H104:N104 E106:N106 E103:N103 C51 C47:C50" calculatedColumn="1"/>
    <ignoredError sqref="C67:M67" evalError="1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1030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1030" r:id="rId4"/>
      </mc:Fallback>
    </mc:AlternateContent>
  </oleObjects>
  <tableParts count="10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34998626667073579"/>
  </sheetPr>
  <dimension ref="B2:M35"/>
  <sheetViews>
    <sheetView topLeftCell="A13" zoomScale="110" zoomScaleNormal="110" workbookViewId="0">
      <selection activeCell="M20" sqref="M20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1.4257812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1.4257812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1.4257812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1.4257812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1.4257812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1.4257812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1.4257812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1.4257812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1.4257812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1.4257812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1.4257812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1.4257812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1.4257812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1.4257812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1.4257812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1.4257812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1.4257812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1.4257812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1.4257812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1.4257812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1.4257812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1.4257812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1.4257812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1.4257812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1.4257812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1.4257812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1.4257812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1.4257812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1.4257812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1.4257812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1.4257812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1.4257812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1.4257812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1.4257812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1.4257812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1.4257812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1.4257812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1.4257812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1.4257812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1.4257812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1.4257812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1.4257812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1.4257812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1.4257812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1.4257812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1.4257812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1.4257812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1.4257812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1.4257812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1.4257812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1.4257812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1.4257812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1.4257812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1.4257812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1.4257812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1.4257812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1.4257812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1.4257812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1.4257812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1.4257812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1.4257812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1.4257812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1.4257812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1.42578125" style="90"/>
  </cols>
  <sheetData>
    <row r="2" spans="2:13" ht="35.2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DATOS!D23</f>
        <v>2</v>
      </c>
      <c r="D6" s="101">
        <f>DATOS!D24</f>
        <v>3</v>
      </c>
      <c r="E6" s="101">
        <f>DATOS!D25</f>
        <v>2.5</v>
      </c>
      <c r="F6" s="101">
        <f>SUM($C6:$E6)</f>
        <v>7.5</v>
      </c>
      <c r="G6" s="102">
        <f>DATOS!D6</f>
        <v>20271.23</v>
      </c>
      <c r="I6" s="103">
        <f>DATOS!D3/DATOS!D23</f>
        <v>50245.53</v>
      </c>
      <c r="K6" s="104">
        <f>DATOS!D$3/(DATOS!D$23+DATOS!D$24)</f>
        <v>20098.212</v>
      </c>
      <c r="M6" s="104">
        <f>DATOS!D$3/DATOS!D$26</f>
        <v>13398.807999999999</v>
      </c>
    </row>
    <row r="7" spans="2:13" x14ac:dyDescent="0.2">
      <c r="B7" s="100" t="s">
        <v>1</v>
      </c>
      <c r="C7" s="101">
        <f>DATOS!F23</f>
        <v>2</v>
      </c>
      <c r="D7" s="101">
        <f>DATOS!F24</f>
        <v>3</v>
      </c>
      <c r="E7" s="101">
        <f>DATOS!F25</f>
        <v>2.5</v>
      </c>
      <c r="F7" s="101">
        <f t="shared" ref="F7:F17" si="0">SUM($C7:$E7)</f>
        <v>7.5</v>
      </c>
      <c r="G7" s="102">
        <f>DATOS!F6</f>
        <v>23765.599999999999</v>
      </c>
      <c r="I7" s="103">
        <f>DATOS!F3/DATOS!F23</f>
        <v>70414.705000000002</v>
      </c>
      <c r="K7" s="104">
        <f>DATOS!F$3/(DATOS!F$23+DATOS!F$24)</f>
        <v>28165.882000000001</v>
      </c>
      <c r="M7" s="104">
        <f>DATOS!F$3/DATOS!F$26</f>
        <v>18777.254666666668</v>
      </c>
    </row>
    <row r="8" spans="2:13" x14ac:dyDescent="0.2">
      <c r="B8" s="100" t="s">
        <v>2</v>
      </c>
      <c r="C8" s="101">
        <f>DATOS!H23</f>
        <v>2</v>
      </c>
      <c r="D8" s="101">
        <f>DATOS!H24</f>
        <v>3</v>
      </c>
      <c r="E8" s="101">
        <f>DATOS!H25</f>
        <v>2.5</v>
      </c>
      <c r="F8" s="101">
        <f t="shared" si="0"/>
        <v>7.5</v>
      </c>
      <c r="G8" s="102">
        <f>DATOS!H6</f>
        <v>20914.5</v>
      </c>
      <c r="I8" s="103">
        <f>DATOS!H3/DATOS!H23</f>
        <v>39191.584999999999</v>
      </c>
      <c r="K8" s="104">
        <f>DATOS!H$3/(DATOS!H$23+DATOS!H$24)</f>
        <v>15676.634</v>
      </c>
      <c r="M8" s="104">
        <f>DATOS!H$3/DATOS!H$26</f>
        <v>10451.089333333333</v>
      </c>
    </row>
    <row r="9" spans="2:13" x14ac:dyDescent="0.2">
      <c r="B9" s="100" t="s">
        <v>3</v>
      </c>
      <c r="C9" s="101">
        <f>DATOS!J23</f>
        <v>2</v>
      </c>
      <c r="D9" s="101">
        <f>DATOS!J24</f>
        <v>3</v>
      </c>
      <c r="E9" s="101">
        <f>DATOS!J25</f>
        <v>2.5</v>
      </c>
      <c r="F9" s="101">
        <f t="shared" si="0"/>
        <v>7.5</v>
      </c>
      <c r="G9" s="102">
        <f>DATOS!J6</f>
        <v>20754.8</v>
      </c>
      <c r="I9" s="103">
        <f>DATOS!J3/DATOS!J23</f>
        <v>57588.51</v>
      </c>
      <c r="K9" s="104">
        <f>DATOS!J$3/(DATOS!J$23+DATOS!J$24)</f>
        <v>23035.404000000002</v>
      </c>
      <c r="M9" s="104">
        <f>DATOS!J$3/DATOS!J$26</f>
        <v>15356.936</v>
      </c>
    </row>
    <row r="10" spans="2:13" x14ac:dyDescent="0.2">
      <c r="B10" s="100" t="s">
        <v>4</v>
      </c>
      <c r="C10" s="101">
        <f>DATOS!L23</f>
        <v>2</v>
      </c>
      <c r="D10" s="101">
        <f>DATOS!L24</f>
        <v>3</v>
      </c>
      <c r="E10" s="101">
        <f>DATOS!L25</f>
        <v>2.5</v>
      </c>
      <c r="F10" s="101">
        <f t="shared" si="0"/>
        <v>7.5</v>
      </c>
      <c r="G10" s="102">
        <f>DATOS!L6</f>
        <v>21988.62</v>
      </c>
      <c r="I10" s="103">
        <f>DATOS!L3/DATOS!L23</f>
        <v>65789.244999999995</v>
      </c>
      <c r="K10" s="104">
        <f>DATOS!L$3/(DATOS!L$23+DATOS!L$24)</f>
        <v>26315.697999999997</v>
      </c>
      <c r="M10" s="104">
        <f>DATOS!L$3/DATOS!L$26</f>
        <v>17543.798666666666</v>
      </c>
    </row>
    <row r="11" spans="2:13" x14ac:dyDescent="0.2">
      <c r="B11" s="100" t="s">
        <v>5</v>
      </c>
      <c r="C11" s="101">
        <f>DATOS!N23</f>
        <v>2</v>
      </c>
      <c r="D11" s="101">
        <f>DATOS!N24</f>
        <v>3</v>
      </c>
      <c r="E11" s="101">
        <f>DATOS!N25</f>
        <v>2.5</v>
      </c>
      <c r="F11" s="101">
        <f t="shared" si="0"/>
        <v>7.5</v>
      </c>
      <c r="G11" s="102">
        <f>DATOS!N6</f>
        <v>22356.21</v>
      </c>
      <c r="I11" s="103">
        <f>DATOS!N3/DATOS!N23</f>
        <v>73469.464999999997</v>
      </c>
      <c r="K11" s="104">
        <f>DATOS!N$3/(DATOS!N$23+DATOS!N$24)</f>
        <v>29387.786</v>
      </c>
      <c r="M11" s="104">
        <f>DATOS!N$3/DATOS!N$26</f>
        <v>19591.857333333333</v>
      </c>
    </row>
    <row r="12" spans="2:13" x14ac:dyDescent="0.2">
      <c r="B12" s="100" t="s">
        <v>6</v>
      </c>
      <c r="C12" s="101">
        <f>DATOS!P23</f>
        <v>2</v>
      </c>
      <c r="D12" s="101">
        <f>DATOS!P24</f>
        <v>3</v>
      </c>
      <c r="E12" s="101">
        <f>DATOS!P25</f>
        <v>2.5</v>
      </c>
      <c r="F12" s="101">
        <f t="shared" si="0"/>
        <v>7.5</v>
      </c>
      <c r="G12" s="102">
        <f>DATOS!P6</f>
        <v>0</v>
      </c>
      <c r="I12" s="103">
        <f>DATOS!P3/DATOS!P23</f>
        <v>585890.55500000005</v>
      </c>
      <c r="K12" s="104">
        <f>DATOS!P$3/(DATOS!P$23+DATOS!P$24)</f>
        <v>234356.22200000001</v>
      </c>
      <c r="M12" s="104">
        <f>DATOS!P$3/DATOS!P$26</f>
        <v>156237.48133333336</v>
      </c>
    </row>
    <row r="13" spans="2:13" x14ac:dyDescent="0.2">
      <c r="B13" s="100" t="s">
        <v>7</v>
      </c>
      <c r="C13" s="101">
        <f>DATOS!R23</f>
        <v>2</v>
      </c>
      <c r="D13" s="101">
        <f>DATOS!R24</f>
        <v>3</v>
      </c>
      <c r="E13" s="101">
        <f>DATOS!R25</f>
        <v>2.5</v>
      </c>
      <c r="F13" s="101">
        <f t="shared" si="0"/>
        <v>7.5</v>
      </c>
      <c r="G13" s="102">
        <f>DATOS!R6</f>
        <v>0</v>
      </c>
      <c r="I13" s="103">
        <f>DATOS!R3/DATOS!R23</f>
        <v>7631.9849999999997</v>
      </c>
      <c r="K13" s="104">
        <f>DATOS!R$3/(DATOS!R$23+DATOS!R$24)</f>
        <v>3052.7939999999999</v>
      </c>
      <c r="M13" s="104">
        <f>DATOS!R$3/DATOS!R$26</f>
        <v>2035.1959999999999</v>
      </c>
    </row>
    <row r="14" spans="2:13" x14ac:dyDescent="0.2">
      <c r="B14" s="100" t="s">
        <v>8</v>
      </c>
      <c r="C14" s="101">
        <f>DATOS!T23</f>
        <v>2</v>
      </c>
      <c r="D14" s="101">
        <f>DATOS!T24</f>
        <v>3</v>
      </c>
      <c r="E14" s="101">
        <f>DATOS!T25</f>
        <v>2.5</v>
      </c>
      <c r="F14" s="101">
        <f t="shared" si="0"/>
        <v>7.5</v>
      </c>
      <c r="G14" s="102">
        <f>DATOS!T6</f>
        <v>0</v>
      </c>
      <c r="I14" s="103">
        <f>DATOS!T3/DATOS!T23</f>
        <v>81551.615000000005</v>
      </c>
      <c r="K14" s="104">
        <f>DATOS!T$3/(DATOS!T$23+DATOS!T$24)</f>
        <v>32620.646000000001</v>
      </c>
      <c r="M14" s="104">
        <f>DATOS!T$3/DATOS!T$26</f>
        <v>21747.097333333335</v>
      </c>
    </row>
    <row r="15" spans="2:13" x14ac:dyDescent="0.2">
      <c r="B15" s="100" t="s">
        <v>9</v>
      </c>
      <c r="C15" s="101">
        <f>DATOS!V23</f>
        <v>2</v>
      </c>
      <c r="D15" s="101">
        <f>DATOS!V24</f>
        <v>3.29</v>
      </c>
      <c r="E15" s="101">
        <f>DATOS!V25</f>
        <v>2.5</v>
      </c>
      <c r="F15" s="101">
        <f t="shared" si="0"/>
        <v>7.79</v>
      </c>
      <c r="G15" s="102">
        <f>DATOS!V6</f>
        <v>0</v>
      </c>
      <c r="I15" s="103">
        <f>DATOS!V3/DATOS!V23</f>
        <v>84371.77</v>
      </c>
      <c r="K15" s="104">
        <f>DATOS!V$3/(DATOS!V$23+DATOS!V$24)</f>
        <v>31898.589792060491</v>
      </c>
      <c r="M15" s="104">
        <f>DATOS!V$3/DATOS!V$26</f>
        <v>21661.558408215664</v>
      </c>
    </row>
    <row r="16" spans="2:13" x14ac:dyDescent="0.2">
      <c r="B16" s="100" t="s">
        <v>10</v>
      </c>
      <c r="C16" s="101">
        <f>DATOS!X23</f>
        <v>2</v>
      </c>
      <c r="D16" s="101">
        <f>DATOS!X24</f>
        <v>3.29</v>
      </c>
      <c r="E16" s="101">
        <f>DATOS!X25</f>
        <v>2.5</v>
      </c>
      <c r="F16" s="101">
        <f t="shared" si="0"/>
        <v>7.79</v>
      </c>
      <c r="G16" s="102">
        <f>DATOS!X6</f>
        <v>0</v>
      </c>
      <c r="I16" s="103">
        <f>DATOS!X3/DATOS!X23</f>
        <v>77301.365000000005</v>
      </c>
      <c r="K16" s="104">
        <f>DATOS!X$3/(DATOS!X$23+DATOS!X$24)</f>
        <v>29225.468809073725</v>
      </c>
      <c r="M16" s="104">
        <f>DATOS!X$3/DATOS!X$26</f>
        <v>19846.306803594354</v>
      </c>
    </row>
    <row r="17" spans="2:13" ht="13.5" thickBot="1" x14ac:dyDescent="0.25">
      <c r="B17" s="105" t="s">
        <v>11</v>
      </c>
      <c r="C17" s="101">
        <f>DATOS!Z23</f>
        <v>2</v>
      </c>
      <c r="D17" s="101">
        <f>DATOS!Z24</f>
        <v>0</v>
      </c>
      <c r="E17" s="106">
        <f>DATOS!Z25</f>
        <v>0</v>
      </c>
      <c r="F17" s="101">
        <f t="shared" si="0"/>
        <v>2</v>
      </c>
      <c r="G17" s="102">
        <f>DATOS!Z6</f>
        <v>0</v>
      </c>
      <c r="I17" s="103">
        <f>DATOS!Z3/DATOS!Z23</f>
        <v>24521.34</v>
      </c>
      <c r="K17" s="104">
        <f>DATOS!Z$3/(DATOS!Z$23+DATOS!Z$24)</f>
        <v>24521.34</v>
      </c>
      <c r="M17" s="104">
        <f>DATOS!Z$3/DATOS!Z$26</f>
        <v>24521.34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2</v>
      </c>
      <c r="D19" s="108">
        <f>AVERAGE(D6:D17)</f>
        <v>2.7983333333333333</v>
      </c>
      <c r="E19" s="108">
        <f>AVERAGE(E6:E17)</f>
        <v>2.2916666666666665</v>
      </c>
      <c r="F19" s="108">
        <f>AVERAGE(F6:F17)</f>
        <v>7.0900000000000007</v>
      </c>
      <c r="G19" s="109">
        <f>AVERAGE(G6:G17)</f>
        <v>10837.58</v>
      </c>
      <c r="H19" s="110"/>
      <c r="I19" s="111">
        <f>AVERAGE(I$6:I$17)</f>
        <v>101497.30583333335</v>
      </c>
      <c r="J19" s="110"/>
      <c r="K19" s="111">
        <f>AVERAGE(K$6:K$17)</f>
        <v>41529.556383427851</v>
      </c>
      <c r="L19" s="110"/>
      <c r="M19" s="111">
        <f>AVERAGE(M$6:M$17)</f>
        <v>28430.726989873059</v>
      </c>
    </row>
    <row r="21" spans="2:13" x14ac:dyDescent="0.2">
      <c r="B21" s="1764" t="s">
        <v>750</v>
      </c>
      <c r="C21" s="1765"/>
    </row>
    <row r="22" spans="2:13" x14ac:dyDescent="0.2">
      <c r="B22" s="112" t="s">
        <v>0</v>
      </c>
      <c r="C22" s="113">
        <f>DATOS!D$6/DATOS!D$3</f>
        <v>0.20172172529576263</v>
      </c>
    </row>
    <row r="23" spans="2:13" x14ac:dyDescent="0.2">
      <c r="B23" s="112" t="s">
        <v>1</v>
      </c>
      <c r="C23" s="113">
        <f>DATOS!F$6/DATOS!F$3</f>
        <v>0.16875452364672974</v>
      </c>
    </row>
    <row r="24" spans="2:13" x14ac:dyDescent="0.2">
      <c r="B24" s="112" t="s">
        <v>2</v>
      </c>
      <c r="C24" s="113">
        <f>DATOS!H$6/DATOS!H$3</f>
        <v>0.26682386027510752</v>
      </c>
    </row>
    <row r="25" spans="2:13" x14ac:dyDescent="0.2">
      <c r="B25" s="112" t="s">
        <v>3</v>
      </c>
      <c r="C25" s="113">
        <f>DATOS!J$6/DATOS!J$3</f>
        <v>0.18019914041880922</v>
      </c>
    </row>
    <row r="26" spans="2:13" x14ac:dyDescent="0.2">
      <c r="B26" s="112" t="s">
        <v>4</v>
      </c>
      <c r="C26" s="113">
        <f>DATOS!L$6/DATOS!L$3</f>
        <v>0.16711409288858689</v>
      </c>
    </row>
    <row r="27" spans="2:13" x14ac:dyDescent="0.2">
      <c r="B27" s="112" t="s">
        <v>5</v>
      </c>
      <c r="C27" s="113">
        <f>DATOS!N$6/DATOS!N$3</f>
        <v>0.15214626920176974</v>
      </c>
    </row>
    <row r="28" spans="2:13" x14ac:dyDescent="0.2">
      <c r="B28" s="112" t="s">
        <v>6</v>
      </c>
      <c r="C28" s="113">
        <f>DATOS!P$6/DATOS!P$3</f>
        <v>0</v>
      </c>
    </row>
    <row r="29" spans="2:13" x14ac:dyDescent="0.2">
      <c r="B29" s="112" t="s">
        <v>7</v>
      </c>
      <c r="C29" s="113">
        <f>DATOS!R$6/DATOS!R$3</f>
        <v>0</v>
      </c>
    </row>
    <row r="30" spans="2:13" x14ac:dyDescent="0.2">
      <c r="B30" s="112" t="s">
        <v>8</v>
      </c>
      <c r="C30" s="113">
        <f>DATOS!T$6/DATOS!T$3</f>
        <v>0</v>
      </c>
    </row>
    <row r="31" spans="2:13" x14ac:dyDescent="0.2">
      <c r="B31" s="112" t="s">
        <v>9</v>
      </c>
      <c r="C31" s="113">
        <f>DATOS!V$6/DATOS!V$3</f>
        <v>0</v>
      </c>
    </row>
    <row r="32" spans="2:13" x14ac:dyDescent="0.2">
      <c r="B32" s="112" t="s">
        <v>10</v>
      </c>
      <c r="C32" s="113">
        <f>DATOS!X$6/DATOS!X$3</f>
        <v>0</v>
      </c>
    </row>
    <row r="33" spans="2:3" ht="13.5" thickBot="1" x14ac:dyDescent="0.25">
      <c r="B33" s="114" t="s">
        <v>11</v>
      </c>
      <c r="C33" s="113">
        <f>DATOS!Z$6/DATOS!Z$3</f>
        <v>0</v>
      </c>
    </row>
    <row r="34" spans="2:3" ht="13.5" thickBot="1" x14ac:dyDescent="0.25">
      <c r="B34" s="115" t="s">
        <v>158</v>
      </c>
      <c r="C34" s="116">
        <f>(DATOS!D6+DATOS!F6+DATOS!H6+DATOS!J6+DATOS!L6+DATOS!N6+DATOS!P6+DATOS!R6+DATOS!T6+DATOS!V6+DATOS!X6+DATOS!Z6)/DATOS!AB3</f>
        <v>5.3388510714738421E-2</v>
      </c>
    </row>
    <row r="35" spans="2:3" x14ac:dyDescent="0.2">
      <c r="C35" s="117"/>
    </row>
  </sheetData>
  <mergeCells count="1">
    <mergeCell ref="B21:C2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7030A0"/>
    <pageSetUpPr fitToPage="1"/>
  </sheetPr>
  <dimension ref="A6:AA80"/>
  <sheetViews>
    <sheetView workbookViewId="0">
      <pane xSplit="1" ySplit="9" topLeftCell="B28" activePane="bottomRight" state="frozen"/>
      <selection pane="topRight" activeCell="B1" sqref="B1"/>
      <selection pane="bottomLeft" activeCell="A10" sqref="A10"/>
      <selection pane="bottomRight" activeCell="C23" sqref="C23"/>
    </sheetView>
  </sheetViews>
  <sheetFormatPr baseColWidth="10" defaultColWidth="10.85546875" defaultRowHeight="12.75" x14ac:dyDescent="0.2"/>
  <cols>
    <col min="1" max="1" width="40.28515625" style="90" customWidth="1"/>
    <col min="2" max="3" width="12.28515625" style="90" customWidth="1"/>
    <col min="4" max="5" width="11" style="90" customWidth="1"/>
    <col min="6" max="7" width="11.5703125" style="90" customWidth="1"/>
    <col min="8" max="9" width="11.28515625" style="90" customWidth="1"/>
    <col min="10" max="13" width="10.85546875" style="90"/>
    <col min="14" max="15" width="11" style="90" customWidth="1"/>
    <col min="16" max="17" width="10.5703125" style="90" customWidth="1"/>
    <col min="18" max="19" width="12.42578125" style="90" customWidth="1"/>
    <col min="20" max="21" width="11" style="90" customWidth="1"/>
    <col min="22" max="23" width="10.85546875" style="90" customWidth="1"/>
    <col min="24" max="25" width="9.85546875" style="90" customWidth="1"/>
    <col min="26" max="27" width="12.140625" style="90" customWidth="1"/>
    <col min="28" max="16384" width="10.85546875" style="90"/>
  </cols>
  <sheetData>
    <row r="6" spans="1:27" ht="20.25" x14ac:dyDescent="0.3">
      <c r="H6" s="156" t="s">
        <v>185</v>
      </c>
      <c r="I6" s="156"/>
    </row>
    <row r="7" spans="1:27" ht="13.5" thickBot="1" x14ac:dyDescent="0.25"/>
    <row r="8" spans="1:27" ht="15" customHeight="1" x14ac:dyDescent="0.2">
      <c r="A8" s="1785" t="s">
        <v>842</v>
      </c>
      <c r="B8" s="1787" t="s">
        <v>0</v>
      </c>
      <c r="C8" s="1788"/>
      <c r="D8" s="1789" t="s">
        <v>1</v>
      </c>
      <c r="E8" s="1790"/>
      <c r="F8" s="1791" t="s">
        <v>2</v>
      </c>
      <c r="G8" s="1792"/>
      <c r="H8" s="1793" t="s">
        <v>3</v>
      </c>
      <c r="I8" s="1794"/>
      <c r="J8" s="1783" t="s">
        <v>4</v>
      </c>
      <c r="K8" s="1784"/>
      <c r="L8" s="1771" t="s">
        <v>5</v>
      </c>
      <c r="M8" s="1772"/>
      <c r="N8" s="1773" t="s">
        <v>6</v>
      </c>
      <c r="O8" s="1774"/>
      <c r="P8" s="1775" t="s">
        <v>7</v>
      </c>
      <c r="Q8" s="1776"/>
      <c r="R8" s="1777" t="s">
        <v>8</v>
      </c>
      <c r="S8" s="1778"/>
      <c r="T8" s="1779" t="s">
        <v>9</v>
      </c>
      <c r="U8" s="1780"/>
      <c r="V8" s="1781" t="s">
        <v>10</v>
      </c>
      <c r="W8" s="1782"/>
      <c r="X8" s="1767" t="s">
        <v>11</v>
      </c>
      <c r="Y8" s="1768"/>
      <c r="Z8" s="1769" t="s">
        <v>184</v>
      </c>
      <c r="AA8" s="1770"/>
    </row>
    <row r="9" spans="1:27" x14ac:dyDescent="0.2">
      <c r="A9" s="1786"/>
      <c r="B9" s="1093" t="s">
        <v>682</v>
      </c>
      <c r="C9" s="1093" t="s">
        <v>683</v>
      </c>
      <c r="D9" s="1094" t="s">
        <v>684</v>
      </c>
      <c r="E9" s="1094" t="s">
        <v>683</v>
      </c>
      <c r="F9" s="1095" t="s">
        <v>684</v>
      </c>
      <c r="G9" s="1095" t="s">
        <v>683</v>
      </c>
      <c r="H9" s="1096" t="s">
        <v>682</v>
      </c>
      <c r="I9" s="1096" t="s">
        <v>683</v>
      </c>
      <c r="J9" s="1097" t="s">
        <v>682</v>
      </c>
      <c r="K9" s="1097" t="s">
        <v>683</v>
      </c>
      <c r="L9" s="1098" t="s">
        <v>682</v>
      </c>
      <c r="M9" s="1098" t="s">
        <v>683</v>
      </c>
      <c r="N9" s="1099" t="s">
        <v>684</v>
      </c>
      <c r="O9" s="1099" t="s">
        <v>683</v>
      </c>
      <c r="P9" s="1100" t="s">
        <v>682</v>
      </c>
      <c r="Q9" s="1100" t="s">
        <v>683</v>
      </c>
      <c r="R9" s="1101" t="s">
        <v>682</v>
      </c>
      <c r="S9" s="1101" t="s">
        <v>683</v>
      </c>
      <c r="T9" s="1102" t="s">
        <v>682</v>
      </c>
      <c r="U9" s="1105" t="s">
        <v>683</v>
      </c>
      <c r="V9" s="1103" t="s">
        <v>682</v>
      </c>
      <c r="W9" s="1103" t="s">
        <v>683</v>
      </c>
      <c r="X9" s="1106" t="s">
        <v>682</v>
      </c>
      <c r="Y9" s="1107" t="s">
        <v>683</v>
      </c>
      <c r="Z9" s="1108" t="s">
        <v>682</v>
      </c>
      <c r="AA9" s="1108" t="s">
        <v>683</v>
      </c>
    </row>
    <row r="10" spans="1:27" x14ac:dyDescent="0.2">
      <c r="A10" s="170" t="s">
        <v>183</v>
      </c>
      <c r="B10" s="661">
        <f>DATOS!C79</f>
        <v>0</v>
      </c>
      <c r="C10" s="661">
        <f>DATOS!D79</f>
        <v>0</v>
      </c>
      <c r="D10" s="661">
        <f>DATOS!E79</f>
        <v>0</v>
      </c>
      <c r="E10" s="661">
        <f>DATOS!F79</f>
        <v>0</v>
      </c>
      <c r="F10" s="661">
        <f>DATOS!G79</f>
        <v>0</v>
      </c>
      <c r="G10" s="661">
        <f>DATOS!H79</f>
        <v>0</v>
      </c>
      <c r="H10" s="661">
        <f>DATOS!I79</f>
        <v>0</v>
      </c>
      <c r="I10" s="661">
        <f>DATOS!J79</f>
        <v>0</v>
      </c>
      <c r="J10" s="661">
        <f>DATOS!K79</f>
        <v>0</v>
      </c>
      <c r="K10" s="661">
        <f>DATOS!L79</f>
        <v>0</v>
      </c>
      <c r="L10" s="661">
        <f>DATOS!M79</f>
        <v>0</v>
      </c>
      <c r="M10" s="661">
        <f>DATOS!N79</f>
        <v>0</v>
      </c>
      <c r="N10" s="661">
        <f>DATOS!O79</f>
        <v>0</v>
      </c>
      <c r="O10" s="661">
        <f>DATOS!P79</f>
        <v>0</v>
      </c>
      <c r="P10" s="661">
        <f>DATOS!Q79</f>
        <v>0</v>
      </c>
      <c r="Q10" s="661">
        <f>DATOS!R79</f>
        <v>0</v>
      </c>
      <c r="R10" s="661">
        <f>DATOS!S79</f>
        <v>0</v>
      </c>
      <c r="S10" s="661">
        <f>DATOS!T79</f>
        <v>0</v>
      </c>
      <c r="T10" s="661">
        <f>DATOS!U79</f>
        <v>0</v>
      </c>
      <c r="U10" s="661">
        <f>DATOS!V79</f>
        <v>0</v>
      </c>
      <c r="V10" s="661">
        <f>DATOS!W79</f>
        <v>0</v>
      </c>
      <c r="W10" s="661">
        <f>DATOS!X79</f>
        <v>0</v>
      </c>
      <c r="X10" s="661">
        <f>DATOS!Y79</f>
        <v>0</v>
      </c>
      <c r="Y10" s="661">
        <f>DATOS!Z79</f>
        <v>0</v>
      </c>
      <c r="Z10" s="662">
        <f>B10+D10+F10+H10+J10+L10+N10+P10+R10+T10+V10+X10</f>
        <v>0</v>
      </c>
      <c r="AA10" s="662">
        <f>C10+E10+G10+I10+K10+M10+O10+Q10+S10+U10+W10+Y10</f>
        <v>0</v>
      </c>
    </row>
    <row r="11" spans="1:27" x14ac:dyDescent="0.2">
      <c r="A11" s="170" t="s">
        <v>176</v>
      </c>
      <c r="B11" s="661">
        <f>DATOS!C80</f>
        <v>0</v>
      </c>
      <c r="C11" s="661">
        <f>DATOS!D80</f>
        <v>0</v>
      </c>
      <c r="D11" s="661">
        <f>DATOS!E80</f>
        <v>0</v>
      </c>
      <c r="E11" s="661">
        <f>DATOS!F80</f>
        <v>0</v>
      </c>
      <c r="F11" s="661">
        <f>DATOS!G80</f>
        <v>0</v>
      </c>
      <c r="G11" s="661">
        <f>DATOS!H80</f>
        <v>0</v>
      </c>
      <c r="H11" s="661">
        <f>DATOS!I80</f>
        <v>0</v>
      </c>
      <c r="I11" s="661">
        <f>DATOS!J80</f>
        <v>0</v>
      </c>
      <c r="J11" s="661">
        <f>DATOS!K80</f>
        <v>0</v>
      </c>
      <c r="K11" s="661">
        <f>DATOS!L80</f>
        <v>0</v>
      </c>
      <c r="L11" s="661">
        <f>DATOS!M80</f>
        <v>0</v>
      </c>
      <c r="M11" s="661">
        <f>DATOS!N80</f>
        <v>0</v>
      </c>
      <c r="N11" s="661">
        <f>DATOS!O80</f>
        <v>0</v>
      </c>
      <c r="O11" s="661">
        <f>DATOS!P80</f>
        <v>0</v>
      </c>
      <c r="P11" s="661">
        <f>DATOS!Q80</f>
        <v>0</v>
      </c>
      <c r="Q11" s="661">
        <f>DATOS!R80</f>
        <v>0</v>
      </c>
      <c r="R11" s="661">
        <f>DATOS!S80</f>
        <v>0</v>
      </c>
      <c r="S11" s="661">
        <f>DATOS!T80</f>
        <v>0</v>
      </c>
      <c r="T11" s="661">
        <f>DATOS!U80</f>
        <v>0</v>
      </c>
      <c r="U11" s="661">
        <f>DATOS!V80</f>
        <v>0</v>
      </c>
      <c r="V11" s="661">
        <f>DATOS!W80</f>
        <v>0</v>
      </c>
      <c r="W11" s="661">
        <f>DATOS!X80</f>
        <v>0</v>
      </c>
      <c r="X11" s="661">
        <f>DATOS!Y80</f>
        <v>0</v>
      </c>
      <c r="Y11" s="661">
        <f>DATOS!Z80</f>
        <v>0</v>
      </c>
      <c r="Z11" s="662">
        <f t="shared" ref="Z11:Z78" si="0">B11+D11+F11+H11+J11+L11+N11+P11+R11+T11+V11+X11</f>
        <v>0</v>
      </c>
      <c r="AA11" s="662">
        <f t="shared" ref="AA11:AA78" si="1">C11+E11+G11+I11+K11+M11+O11+Q11+S11+U11+W11+Y11</f>
        <v>0</v>
      </c>
    </row>
    <row r="12" spans="1:27" x14ac:dyDescent="0.2">
      <c r="A12" s="170" t="s">
        <v>216</v>
      </c>
      <c r="B12" s="661">
        <f>DATOS!C81</f>
        <v>202800.24</v>
      </c>
      <c r="C12" s="661">
        <f>DATOS!D81</f>
        <v>0</v>
      </c>
      <c r="D12" s="661">
        <f>DATOS!E81</f>
        <v>179570.22</v>
      </c>
      <c r="E12" s="661">
        <f>DATOS!F81</f>
        <v>0</v>
      </c>
      <c r="F12" s="661">
        <f>DATOS!G81</f>
        <v>172276.41</v>
      </c>
      <c r="G12" s="661">
        <f>DATOS!H81</f>
        <v>0</v>
      </c>
      <c r="H12" s="661">
        <f>DATOS!I81</f>
        <v>178407.63</v>
      </c>
      <c r="I12" s="661">
        <f>DATOS!J81</f>
        <v>0</v>
      </c>
      <c r="J12" s="661">
        <f>DATOS!K81</f>
        <v>192445.89</v>
      </c>
      <c r="K12" s="661">
        <f>DATOS!L81</f>
        <v>0</v>
      </c>
      <c r="L12" s="661">
        <f>DATOS!M81</f>
        <v>255760.11</v>
      </c>
      <c r="M12" s="661">
        <f>DATOS!N81</f>
        <v>0</v>
      </c>
      <c r="N12" s="661">
        <f>DATOS!O81</f>
        <v>275842.51</v>
      </c>
      <c r="O12" s="661">
        <f>DATOS!P81</f>
        <v>0</v>
      </c>
      <c r="P12" s="661">
        <f>DATOS!Q81</f>
        <v>55028.38</v>
      </c>
      <c r="Q12" s="661">
        <f>DATOS!R81</f>
        <v>0</v>
      </c>
      <c r="R12" s="661">
        <f>DATOS!S81</f>
        <v>225754.9</v>
      </c>
      <c r="S12" s="661">
        <f>DATOS!T81</f>
        <v>0</v>
      </c>
      <c r="T12" s="661">
        <f>DATOS!U81</f>
        <v>222328.63</v>
      </c>
      <c r="U12" s="661">
        <f>DATOS!V81</f>
        <v>0</v>
      </c>
      <c r="V12" s="661">
        <f>DATOS!W81</f>
        <v>202743.36</v>
      </c>
      <c r="W12" s="661">
        <f>DATOS!X81</f>
        <v>0</v>
      </c>
      <c r="X12" s="661">
        <f>DATOS!Y81</f>
        <v>129278.45</v>
      </c>
      <c r="Y12" s="661">
        <f>DATOS!Z81</f>
        <v>0</v>
      </c>
      <c r="Z12" s="662">
        <f t="shared" si="0"/>
        <v>2292236.73</v>
      </c>
      <c r="AA12" s="662">
        <f t="shared" si="1"/>
        <v>0</v>
      </c>
    </row>
    <row r="13" spans="1:27" x14ac:dyDescent="0.2">
      <c r="A13" s="1104" t="s">
        <v>279</v>
      </c>
      <c r="B13" s="661">
        <f>DATOS!C82</f>
        <v>0</v>
      </c>
      <c r="C13" s="661">
        <f>DATOS!D82</f>
        <v>0</v>
      </c>
      <c r="D13" s="661">
        <f>DATOS!E82</f>
        <v>0</v>
      </c>
      <c r="E13" s="661">
        <f>DATOS!F82</f>
        <v>0</v>
      </c>
      <c r="F13" s="661">
        <f>DATOS!G82</f>
        <v>0</v>
      </c>
      <c r="G13" s="661">
        <f>DATOS!H82</f>
        <v>0</v>
      </c>
      <c r="H13" s="661">
        <f>DATOS!I82</f>
        <v>0</v>
      </c>
      <c r="I13" s="661">
        <f>DATOS!J82</f>
        <v>0</v>
      </c>
      <c r="J13" s="661">
        <f>DATOS!K82</f>
        <v>0</v>
      </c>
      <c r="K13" s="661">
        <f>DATOS!L82</f>
        <v>0</v>
      </c>
      <c r="L13" s="661">
        <f>DATOS!M82</f>
        <v>0</v>
      </c>
      <c r="M13" s="661">
        <f>DATOS!N82</f>
        <v>0</v>
      </c>
      <c r="N13" s="661">
        <f>DATOS!O82</f>
        <v>0</v>
      </c>
      <c r="O13" s="661">
        <f>DATOS!P82</f>
        <v>0</v>
      </c>
      <c r="P13" s="661">
        <f>DATOS!Q82</f>
        <v>0</v>
      </c>
      <c r="Q13" s="661">
        <f>DATOS!R82</f>
        <v>0</v>
      </c>
      <c r="R13" s="661">
        <f>DATOS!S82</f>
        <v>0</v>
      </c>
      <c r="S13" s="661">
        <f>DATOS!T82</f>
        <v>0</v>
      </c>
      <c r="T13" s="661">
        <f>DATOS!U82</f>
        <v>0</v>
      </c>
      <c r="U13" s="661">
        <f>DATOS!V82</f>
        <v>0</v>
      </c>
      <c r="V13" s="661">
        <f>DATOS!W82</f>
        <v>0</v>
      </c>
      <c r="W13" s="661">
        <f>DATOS!X82</f>
        <v>0</v>
      </c>
      <c r="X13" s="661">
        <f>DATOS!Y82</f>
        <v>0</v>
      </c>
      <c r="Y13" s="661">
        <f>DATOS!Z82</f>
        <v>0</v>
      </c>
      <c r="Z13" s="662">
        <f t="shared" si="0"/>
        <v>0</v>
      </c>
      <c r="AA13" s="662">
        <f t="shared" si="1"/>
        <v>0</v>
      </c>
    </row>
    <row r="14" spans="1:27" x14ac:dyDescent="0.2">
      <c r="A14" s="170" t="s">
        <v>182</v>
      </c>
      <c r="B14" s="661">
        <f>DATOS!C83</f>
        <v>0</v>
      </c>
      <c r="C14" s="661">
        <f>DATOS!D83</f>
        <v>0</v>
      </c>
      <c r="D14" s="661">
        <f>DATOS!E83</f>
        <v>0</v>
      </c>
      <c r="E14" s="661">
        <f>DATOS!F83</f>
        <v>0</v>
      </c>
      <c r="F14" s="661">
        <f>DATOS!G83</f>
        <v>0</v>
      </c>
      <c r="G14" s="661">
        <f>DATOS!H83</f>
        <v>0</v>
      </c>
      <c r="H14" s="661">
        <f>DATOS!I83</f>
        <v>0</v>
      </c>
      <c r="I14" s="661">
        <f>DATOS!J83</f>
        <v>0</v>
      </c>
      <c r="J14" s="661">
        <f>DATOS!K83</f>
        <v>0</v>
      </c>
      <c r="K14" s="661">
        <f>DATOS!L83</f>
        <v>0</v>
      </c>
      <c r="L14" s="661">
        <f>DATOS!M83</f>
        <v>0</v>
      </c>
      <c r="M14" s="661">
        <f>DATOS!N83</f>
        <v>0</v>
      </c>
      <c r="N14" s="661">
        <f>DATOS!O83</f>
        <v>0</v>
      </c>
      <c r="O14" s="661">
        <f>DATOS!P83</f>
        <v>0</v>
      </c>
      <c r="P14" s="661">
        <f>DATOS!Q83</f>
        <v>0</v>
      </c>
      <c r="Q14" s="661">
        <f>DATOS!R83</f>
        <v>0</v>
      </c>
      <c r="R14" s="661">
        <f>DATOS!S83</f>
        <v>0</v>
      </c>
      <c r="S14" s="661">
        <f>DATOS!T83</f>
        <v>0</v>
      </c>
      <c r="T14" s="661">
        <f>DATOS!U83</f>
        <v>0</v>
      </c>
      <c r="U14" s="661">
        <f>DATOS!V83</f>
        <v>0</v>
      </c>
      <c r="V14" s="661">
        <f>DATOS!W83</f>
        <v>0</v>
      </c>
      <c r="W14" s="661">
        <f>DATOS!X83</f>
        <v>0</v>
      </c>
      <c r="X14" s="661">
        <f>DATOS!Y83</f>
        <v>0</v>
      </c>
      <c r="Y14" s="661">
        <f>DATOS!Z83</f>
        <v>0</v>
      </c>
      <c r="Z14" s="662">
        <f t="shared" si="0"/>
        <v>0</v>
      </c>
      <c r="AA14" s="662">
        <f t="shared" si="1"/>
        <v>0</v>
      </c>
    </row>
    <row r="15" spans="1:27" x14ac:dyDescent="0.2">
      <c r="A15" s="170" t="s">
        <v>181</v>
      </c>
      <c r="B15" s="661">
        <f>DATOS!C84</f>
        <v>0</v>
      </c>
      <c r="C15" s="661">
        <f>DATOS!D84</f>
        <v>0</v>
      </c>
      <c r="D15" s="661">
        <f>DATOS!E84</f>
        <v>0</v>
      </c>
      <c r="E15" s="661">
        <f>DATOS!F84</f>
        <v>0</v>
      </c>
      <c r="F15" s="661">
        <f>DATOS!G84</f>
        <v>0</v>
      </c>
      <c r="G15" s="661">
        <f>DATOS!H84</f>
        <v>0</v>
      </c>
      <c r="H15" s="661">
        <f>DATOS!I84</f>
        <v>0</v>
      </c>
      <c r="I15" s="661">
        <f>DATOS!J84</f>
        <v>0</v>
      </c>
      <c r="J15" s="661">
        <f>DATOS!K84</f>
        <v>0</v>
      </c>
      <c r="K15" s="661">
        <f>DATOS!L84</f>
        <v>0</v>
      </c>
      <c r="L15" s="661">
        <f>DATOS!M84</f>
        <v>0</v>
      </c>
      <c r="M15" s="661">
        <f>DATOS!N84</f>
        <v>0</v>
      </c>
      <c r="N15" s="661">
        <f>DATOS!O84</f>
        <v>0</v>
      </c>
      <c r="O15" s="661">
        <f>DATOS!P84</f>
        <v>0</v>
      </c>
      <c r="P15" s="661">
        <f>DATOS!Q84</f>
        <v>0</v>
      </c>
      <c r="Q15" s="661">
        <f>DATOS!R84</f>
        <v>0</v>
      </c>
      <c r="R15" s="661">
        <f>DATOS!S84</f>
        <v>0</v>
      </c>
      <c r="S15" s="661">
        <f>DATOS!T84</f>
        <v>0</v>
      </c>
      <c r="T15" s="661">
        <f>DATOS!U84</f>
        <v>0</v>
      </c>
      <c r="U15" s="661">
        <f>DATOS!V84</f>
        <v>0</v>
      </c>
      <c r="V15" s="661">
        <f>DATOS!W84</f>
        <v>0</v>
      </c>
      <c r="W15" s="661">
        <f>DATOS!X84</f>
        <v>0</v>
      </c>
      <c r="X15" s="661">
        <f>DATOS!Y84</f>
        <v>0</v>
      </c>
      <c r="Y15" s="661">
        <f>DATOS!Z84</f>
        <v>0</v>
      </c>
      <c r="Z15" s="662">
        <f t="shared" si="0"/>
        <v>0</v>
      </c>
      <c r="AA15" s="662">
        <f t="shared" si="1"/>
        <v>0</v>
      </c>
    </row>
    <row r="16" spans="1:27" x14ac:dyDescent="0.2">
      <c r="A16" s="170" t="s">
        <v>173</v>
      </c>
      <c r="B16" s="661">
        <f>DATOS!C85</f>
        <v>0</v>
      </c>
      <c r="C16" s="661">
        <f>DATOS!D85</f>
        <v>0</v>
      </c>
      <c r="D16" s="661">
        <f>DATOS!E85</f>
        <v>0</v>
      </c>
      <c r="E16" s="661">
        <f>DATOS!F85</f>
        <v>0</v>
      </c>
      <c r="F16" s="661">
        <f>DATOS!G85</f>
        <v>0</v>
      </c>
      <c r="G16" s="661">
        <f>DATOS!H85</f>
        <v>0</v>
      </c>
      <c r="H16" s="661">
        <f>DATOS!I85</f>
        <v>0</v>
      </c>
      <c r="I16" s="661">
        <f>DATOS!J85</f>
        <v>0</v>
      </c>
      <c r="J16" s="661">
        <f>DATOS!K85</f>
        <v>0</v>
      </c>
      <c r="K16" s="661">
        <f>DATOS!L85</f>
        <v>0</v>
      </c>
      <c r="L16" s="661">
        <f>DATOS!M85</f>
        <v>0</v>
      </c>
      <c r="M16" s="661">
        <f>DATOS!N85</f>
        <v>0</v>
      </c>
      <c r="N16" s="661">
        <f>DATOS!O85</f>
        <v>0</v>
      </c>
      <c r="O16" s="661">
        <f>DATOS!P85</f>
        <v>0</v>
      </c>
      <c r="P16" s="661">
        <f>DATOS!Q85</f>
        <v>0</v>
      </c>
      <c r="Q16" s="661">
        <f>DATOS!R85</f>
        <v>0</v>
      </c>
      <c r="R16" s="661">
        <f>DATOS!S85</f>
        <v>0</v>
      </c>
      <c r="S16" s="661">
        <f>DATOS!T85</f>
        <v>0</v>
      </c>
      <c r="T16" s="661">
        <f>DATOS!U85</f>
        <v>0</v>
      </c>
      <c r="U16" s="661">
        <f>DATOS!V85</f>
        <v>0</v>
      </c>
      <c r="V16" s="661">
        <f>DATOS!W85</f>
        <v>0</v>
      </c>
      <c r="W16" s="661">
        <f>DATOS!X85</f>
        <v>0</v>
      </c>
      <c r="X16" s="661">
        <f>DATOS!Y85</f>
        <v>0</v>
      </c>
      <c r="Y16" s="661">
        <f>DATOS!Z85</f>
        <v>0</v>
      </c>
      <c r="Z16" s="662">
        <f t="shared" si="0"/>
        <v>0</v>
      </c>
      <c r="AA16" s="662">
        <f t="shared" si="1"/>
        <v>0</v>
      </c>
    </row>
    <row r="17" spans="1:27" x14ac:dyDescent="0.2">
      <c r="A17" s="170" t="s">
        <v>651</v>
      </c>
      <c r="B17" s="661">
        <f>DATOS!C86</f>
        <v>0</v>
      </c>
      <c r="C17" s="661">
        <f>DATOS!D86</f>
        <v>0</v>
      </c>
      <c r="D17" s="661">
        <f>DATOS!E86</f>
        <v>1181.8399999999999</v>
      </c>
      <c r="E17" s="661">
        <f>DATOS!F86</f>
        <v>0</v>
      </c>
      <c r="F17" s="661">
        <f>DATOS!G86</f>
        <v>3560.48</v>
      </c>
      <c r="G17" s="661">
        <f>DATOS!H86</f>
        <v>0</v>
      </c>
      <c r="H17" s="661">
        <f>DATOS!I86</f>
        <v>1286.56</v>
      </c>
      <c r="I17" s="661">
        <f>DATOS!J86</f>
        <v>0</v>
      </c>
      <c r="J17" s="661">
        <f>DATOS!K86</f>
        <v>2752.64</v>
      </c>
      <c r="K17" s="661">
        <f>DATOS!L86</f>
        <v>0</v>
      </c>
      <c r="L17" s="661">
        <f>DATOS!M86</f>
        <v>3141.6</v>
      </c>
      <c r="M17" s="661">
        <f>DATOS!N86</f>
        <v>0</v>
      </c>
      <c r="N17" s="661">
        <f>DATOS!O86</f>
        <v>3171.52</v>
      </c>
      <c r="O17" s="661">
        <f>DATOS!P86</f>
        <v>0</v>
      </c>
      <c r="P17" s="661">
        <f>DATOS!Q86</f>
        <v>0</v>
      </c>
      <c r="Q17" s="661">
        <f>DATOS!R86</f>
        <v>0</v>
      </c>
      <c r="R17" s="661">
        <f>DATOS!S86</f>
        <v>0</v>
      </c>
      <c r="S17" s="661">
        <f>DATOS!T86</f>
        <v>0</v>
      </c>
      <c r="T17" s="661">
        <f>DATOS!U86</f>
        <v>2067.7800000000002</v>
      </c>
      <c r="U17" s="661">
        <f>DATOS!V86</f>
        <v>0</v>
      </c>
      <c r="V17" s="661">
        <f>DATOS!W86</f>
        <v>0</v>
      </c>
      <c r="W17" s="661">
        <f>DATOS!X86</f>
        <v>0</v>
      </c>
      <c r="X17" s="661">
        <f>DATOS!Y86</f>
        <v>1384.35</v>
      </c>
      <c r="Y17" s="661">
        <f>DATOS!Z86</f>
        <v>0</v>
      </c>
      <c r="Z17" s="662">
        <f t="shared" si="0"/>
        <v>18546.769999999997</v>
      </c>
      <c r="AA17" s="662">
        <f t="shared" si="1"/>
        <v>0</v>
      </c>
    </row>
    <row r="18" spans="1:27" ht="13.5" customHeight="1" x14ac:dyDescent="0.2">
      <c r="A18" s="170" t="s">
        <v>178</v>
      </c>
      <c r="B18" s="661">
        <f>DATOS!C87</f>
        <v>0</v>
      </c>
      <c r="C18" s="661">
        <f>DATOS!D87</f>
        <v>0</v>
      </c>
      <c r="D18" s="661">
        <f>DATOS!E87</f>
        <v>0</v>
      </c>
      <c r="E18" s="661">
        <f>DATOS!F87</f>
        <v>0</v>
      </c>
      <c r="F18" s="661">
        <f>DATOS!G87</f>
        <v>0</v>
      </c>
      <c r="G18" s="661">
        <f>DATOS!H87</f>
        <v>0</v>
      </c>
      <c r="H18" s="661">
        <f>DATOS!I87</f>
        <v>0</v>
      </c>
      <c r="I18" s="661">
        <f>DATOS!J87</f>
        <v>0</v>
      </c>
      <c r="J18" s="661">
        <f>DATOS!K87</f>
        <v>0</v>
      </c>
      <c r="K18" s="661">
        <f>DATOS!L87</f>
        <v>0</v>
      </c>
      <c r="L18" s="661">
        <f>DATOS!M87</f>
        <v>0</v>
      </c>
      <c r="M18" s="661">
        <f>DATOS!N87</f>
        <v>0</v>
      </c>
      <c r="N18" s="661">
        <f>DATOS!O87</f>
        <v>0</v>
      </c>
      <c r="O18" s="661">
        <f>DATOS!P87</f>
        <v>0</v>
      </c>
      <c r="P18" s="661">
        <f>DATOS!Q87</f>
        <v>0</v>
      </c>
      <c r="Q18" s="661">
        <f>DATOS!R87</f>
        <v>0</v>
      </c>
      <c r="R18" s="661">
        <f>DATOS!S87</f>
        <v>0</v>
      </c>
      <c r="S18" s="661">
        <f>DATOS!T87</f>
        <v>0</v>
      </c>
      <c r="T18" s="661">
        <f>DATOS!U87</f>
        <v>338.46</v>
      </c>
      <c r="U18" s="661">
        <f>DATOS!V87</f>
        <v>0</v>
      </c>
      <c r="V18" s="661">
        <f>DATOS!W87</f>
        <v>529.16999999999996</v>
      </c>
      <c r="W18" s="661">
        <f>DATOS!X87</f>
        <v>0</v>
      </c>
      <c r="X18" s="661">
        <f>DATOS!Y87</f>
        <v>180.9</v>
      </c>
      <c r="Y18" s="661">
        <f>DATOS!Z87</f>
        <v>0</v>
      </c>
      <c r="Z18" s="662">
        <f t="shared" si="0"/>
        <v>1048.53</v>
      </c>
      <c r="AA18" s="662">
        <f t="shared" si="1"/>
        <v>0</v>
      </c>
    </row>
    <row r="19" spans="1:27" x14ac:dyDescent="0.2">
      <c r="A19" s="170" t="s">
        <v>177</v>
      </c>
      <c r="B19" s="661">
        <f>DATOS!C88</f>
        <v>0</v>
      </c>
      <c r="C19" s="661">
        <f>DATOS!D88</f>
        <v>0</v>
      </c>
      <c r="D19" s="661">
        <f>DATOS!E88</f>
        <v>0</v>
      </c>
      <c r="E19" s="661">
        <f>DATOS!F88</f>
        <v>0</v>
      </c>
      <c r="F19" s="661">
        <f>DATOS!G88</f>
        <v>0</v>
      </c>
      <c r="G19" s="661">
        <f>DATOS!H88</f>
        <v>0</v>
      </c>
      <c r="H19" s="661">
        <f>DATOS!I88</f>
        <v>0</v>
      </c>
      <c r="I19" s="661">
        <f>DATOS!J88</f>
        <v>0</v>
      </c>
      <c r="J19" s="661">
        <f>DATOS!K88</f>
        <v>0</v>
      </c>
      <c r="K19" s="661">
        <f>DATOS!L88</f>
        <v>0</v>
      </c>
      <c r="L19" s="661">
        <f>DATOS!M88</f>
        <v>0</v>
      </c>
      <c r="M19" s="661">
        <f>DATOS!N88</f>
        <v>0</v>
      </c>
      <c r="N19" s="661">
        <f>DATOS!O88</f>
        <v>0</v>
      </c>
      <c r="O19" s="661">
        <f>DATOS!P88</f>
        <v>0</v>
      </c>
      <c r="P19" s="661">
        <f>DATOS!Q88</f>
        <v>0</v>
      </c>
      <c r="Q19" s="661">
        <f>DATOS!R88</f>
        <v>0</v>
      </c>
      <c r="R19" s="661">
        <f>DATOS!S88</f>
        <v>0</v>
      </c>
      <c r="S19" s="661">
        <f>DATOS!T88</f>
        <v>0</v>
      </c>
      <c r="T19" s="661">
        <f>DATOS!U88</f>
        <v>0</v>
      </c>
      <c r="U19" s="661">
        <f>DATOS!V88</f>
        <v>0</v>
      </c>
      <c r="V19" s="661">
        <f>DATOS!W88</f>
        <v>0</v>
      </c>
      <c r="W19" s="661">
        <f>DATOS!X88</f>
        <v>0</v>
      </c>
      <c r="X19" s="661">
        <f>DATOS!Y88</f>
        <v>0</v>
      </c>
      <c r="Y19" s="661">
        <f>DATOS!Z88</f>
        <v>0</v>
      </c>
      <c r="Z19" s="662">
        <f t="shared" si="0"/>
        <v>0</v>
      </c>
      <c r="AA19" s="662">
        <f t="shared" si="1"/>
        <v>0</v>
      </c>
    </row>
    <row r="20" spans="1:27" x14ac:dyDescent="0.2">
      <c r="A20" s="170" t="s">
        <v>169</v>
      </c>
      <c r="B20" s="661">
        <f>DATOS!C89</f>
        <v>0</v>
      </c>
      <c r="C20" s="661">
        <f>DATOS!D89</f>
        <v>0</v>
      </c>
      <c r="D20" s="661">
        <f>DATOS!E89</f>
        <v>0</v>
      </c>
      <c r="E20" s="661">
        <f>DATOS!F89</f>
        <v>0</v>
      </c>
      <c r="F20" s="661">
        <f>DATOS!G89</f>
        <v>150</v>
      </c>
      <c r="G20" s="661">
        <f>DATOS!H89</f>
        <v>0</v>
      </c>
      <c r="H20" s="661">
        <f>DATOS!I89</f>
        <v>0</v>
      </c>
      <c r="I20" s="661">
        <f>DATOS!J89</f>
        <v>0</v>
      </c>
      <c r="J20" s="661">
        <f>DATOS!K89</f>
        <v>0</v>
      </c>
      <c r="K20" s="661">
        <f>DATOS!L89</f>
        <v>0</v>
      </c>
      <c r="L20" s="661">
        <f>DATOS!M89</f>
        <v>0</v>
      </c>
      <c r="M20" s="661">
        <f>DATOS!N89</f>
        <v>0</v>
      </c>
      <c r="N20" s="661">
        <f>DATOS!O89</f>
        <v>0</v>
      </c>
      <c r="O20" s="661">
        <f>DATOS!P89</f>
        <v>0</v>
      </c>
      <c r="P20" s="661">
        <f>DATOS!Q89</f>
        <v>0</v>
      </c>
      <c r="Q20" s="661">
        <f>DATOS!R89</f>
        <v>0</v>
      </c>
      <c r="R20" s="661">
        <f>DATOS!S89</f>
        <v>0</v>
      </c>
      <c r="S20" s="661">
        <f>DATOS!T89</f>
        <v>0</v>
      </c>
      <c r="T20" s="661">
        <f>DATOS!U89</f>
        <v>0</v>
      </c>
      <c r="U20" s="661">
        <f>DATOS!V89</f>
        <v>0</v>
      </c>
      <c r="V20" s="661">
        <f>DATOS!W89</f>
        <v>0</v>
      </c>
      <c r="W20" s="661">
        <f>DATOS!X89</f>
        <v>0</v>
      </c>
      <c r="X20" s="661">
        <f>DATOS!Y89</f>
        <v>0</v>
      </c>
      <c r="Y20" s="661">
        <f>DATOS!Z89</f>
        <v>0</v>
      </c>
      <c r="Z20" s="662">
        <f t="shared" si="0"/>
        <v>150</v>
      </c>
      <c r="AA20" s="662">
        <f t="shared" si="1"/>
        <v>0</v>
      </c>
    </row>
    <row r="21" spans="1:27" x14ac:dyDescent="0.2">
      <c r="A21" s="170" t="s">
        <v>179</v>
      </c>
      <c r="B21" s="661">
        <f>DATOS!C90</f>
        <v>0</v>
      </c>
      <c r="C21" s="661">
        <f>DATOS!D90</f>
        <v>0</v>
      </c>
      <c r="D21" s="661">
        <f>DATOS!E90</f>
        <v>0</v>
      </c>
      <c r="E21" s="661">
        <f>DATOS!F90</f>
        <v>0</v>
      </c>
      <c r="F21" s="661">
        <f>DATOS!G90</f>
        <v>0</v>
      </c>
      <c r="G21" s="661">
        <f>DATOS!H90</f>
        <v>0</v>
      </c>
      <c r="H21" s="661">
        <f>DATOS!I90</f>
        <v>0</v>
      </c>
      <c r="I21" s="661">
        <f>DATOS!J90</f>
        <v>0</v>
      </c>
      <c r="J21" s="661">
        <f>DATOS!K90</f>
        <v>0</v>
      </c>
      <c r="K21" s="661">
        <f>DATOS!L90</f>
        <v>0</v>
      </c>
      <c r="L21" s="661">
        <f>DATOS!M90</f>
        <v>0</v>
      </c>
      <c r="M21" s="661">
        <f>DATOS!N90</f>
        <v>0</v>
      </c>
      <c r="N21" s="661">
        <f>DATOS!O90</f>
        <v>0</v>
      </c>
      <c r="O21" s="661">
        <f>DATOS!P90</f>
        <v>0</v>
      </c>
      <c r="P21" s="661">
        <f>DATOS!Q90</f>
        <v>0</v>
      </c>
      <c r="Q21" s="661">
        <f>DATOS!R90</f>
        <v>0</v>
      </c>
      <c r="R21" s="661">
        <f>DATOS!S90</f>
        <v>0</v>
      </c>
      <c r="S21" s="661">
        <f>DATOS!T90</f>
        <v>0</v>
      </c>
      <c r="T21" s="661">
        <f>DATOS!U90</f>
        <v>0</v>
      </c>
      <c r="U21" s="661">
        <f>DATOS!V90</f>
        <v>0</v>
      </c>
      <c r="V21" s="661">
        <f>DATOS!W90</f>
        <v>0</v>
      </c>
      <c r="W21" s="661">
        <f>DATOS!X90</f>
        <v>0</v>
      </c>
      <c r="X21" s="661">
        <f>DATOS!Y90</f>
        <v>0</v>
      </c>
      <c r="Y21" s="661">
        <f>DATOS!Z90</f>
        <v>0</v>
      </c>
      <c r="Z21" s="662">
        <f t="shared" si="0"/>
        <v>0</v>
      </c>
      <c r="AA21" s="662">
        <f t="shared" si="1"/>
        <v>0</v>
      </c>
    </row>
    <row r="22" spans="1:27" x14ac:dyDescent="0.2">
      <c r="A22" s="170" t="s">
        <v>652</v>
      </c>
      <c r="B22" s="661">
        <f>DATOS!C91</f>
        <v>0</v>
      </c>
      <c r="C22" s="661">
        <f>DATOS!D91</f>
        <v>0</v>
      </c>
      <c r="D22" s="661">
        <f>DATOS!E91</f>
        <v>0</v>
      </c>
      <c r="E22" s="661">
        <f>DATOS!F91</f>
        <v>0</v>
      </c>
      <c r="F22" s="661">
        <f>DATOS!G91</f>
        <v>0</v>
      </c>
      <c r="G22" s="661">
        <f>DATOS!H91</f>
        <v>0</v>
      </c>
      <c r="H22" s="661">
        <f>DATOS!I91</f>
        <v>0</v>
      </c>
      <c r="I22" s="661">
        <f>DATOS!J91</f>
        <v>0</v>
      </c>
      <c r="J22" s="661">
        <f>DATOS!K91</f>
        <v>0</v>
      </c>
      <c r="K22" s="661">
        <f>DATOS!L91</f>
        <v>0</v>
      </c>
      <c r="L22" s="661">
        <f>DATOS!M91</f>
        <v>0</v>
      </c>
      <c r="M22" s="661">
        <f>DATOS!N91</f>
        <v>0</v>
      </c>
      <c r="N22" s="661">
        <f>DATOS!O91</f>
        <v>0</v>
      </c>
      <c r="O22" s="661">
        <f>DATOS!P91</f>
        <v>0</v>
      </c>
      <c r="P22" s="661">
        <f>DATOS!Q91</f>
        <v>0</v>
      </c>
      <c r="Q22" s="661">
        <f>DATOS!R91</f>
        <v>0</v>
      </c>
      <c r="R22" s="661">
        <f>DATOS!S91</f>
        <v>0</v>
      </c>
      <c r="S22" s="661">
        <f>DATOS!T91</f>
        <v>0</v>
      </c>
      <c r="T22" s="661">
        <f>DATOS!U91</f>
        <v>0</v>
      </c>
      <c r="U22" s="661">
        <f>DATOS!V91</f>
        <v>0</v>
      </c>
      <c r="V22" s="661">
        <f>DATOS!W91</f>
        <v>0</v>
      </c>
      <c r="W22" s="661">
        <f>DATOS!X91</f>
        <v>0</v>
      </c>
      <c r="X22" s="661">
        <f>DATOS!Y91</f>
        <v>0</v>
      </c>
      <c r="Y22" s="661">
        <f>DATOS!Z91</f>
        <v>0</v>
      </c>
      <c r="Z22" s="662">
        <f t="shared" si="0"/>
        <v>0</v>
      </c>
      <c r="AA22" s="662">
        <f t="shared" si="1"/>
        <v>0</v>
      </c>
    </row>
    <row r="23" spans="1:27" x14ac:dyDescent="0.2">
      <c r="A23" s="170" t="s">
        <v>653</v>
      </c>
      <c r="B23" s="661">
        <f>DATOS!C92</f>
        <v>0</v>
      </c>
      <c r="C23" s="661">
        <f>DATOS!D92</f>
        <v>0</v>
      </c>
      <c r="D23" s="661">
        <f>DATOS!E92</f>
        <v>0</v>
      </c>
      <c r="E23" s="661">
        <f>DATOS!F92</f>
        <v>0</v>
      </c>
      <c r="F23" s="661">
        <f>DATOS!G92</f>
        <v>0</v>
      </c>
      <c r="G23" s="661">
        <f>DATOS!H92</f>
        <v>0</v>
      </c>
      <c r="H23" s="661">
        <f>DATOS!I92</f>
        <v>0</v>
      </c>
      <c r="I23" s="661">
        <f>DATOS!J92</f>
        <v>0</v>
      </c>
      <c r="J23" s="661">
        <f>DATOS!K92</f>
        <v>0</v>
      </c>
      <c r="K23" s="661">
        <f>DATOS!L92</f>
        <v>0</v>
      </c>
      <c r="L23" s="661">
        <f>DATOS!M92</f>
        <v>0</v>
      </c>
      <c r="M23" s="661">
        <f>DATOS!N92</f>
        <v>0</v>
      </c>
      <c r="N23" s="661">
        <f>DATOS!O92</f>
        <v>0</v>
      </c>
      <c r="O23" s="661">
        <f>DATOS!P92</f>
        <v>0</v>
      </c>
      <c r="P23" s="661">
        <f>DATOS!Q92</f>
        <v>0</v>
      </c>
      <c r="Q23" s="661">
        <f>DATOS!R92</f>
        <v>0</v>
      </c>
      <c r="R23" s="661">
        <f>DATOS!S92</f>
        <v>0</v>
      </c>
      <c r="S23" s="661">
        <f>DATOS!T92</f>
        <v>0</v>
      </c>
      <c r="T23" s="661">
        <f>DATOS!U92</f>
        <v>0</v>
      </c>
      <c r="U23" s="661">
        <f>DATOS!V92</f>
        <v>0</v>
      </c>
      <c r="V23" s="661">
        <f>DATOS!W92</f>
        <v>0</v>
      </c>
      <c r="W23" s="661">
        <f>DATOS!X92</f>
        <v>0</v>
      </c>
      <c r="X23" s="661">
        <f>DATOS!Y92</f>
        <v>0</v>
      </c>
      <c r="Y23" s="661">
        <f>DATOS!Z92</f>
        <v>0</v>
      </c>
      <c r="Z23" s="662">
        <f t="shared" si="0"/>
        <v>0</v>
      </c>
      <c r="AA23" s="662">
        <f t="shared" si="1"/>
        <v>0</v>
      </c>
    </row>
    <row r="24" spans="1:27" x14ac:dyDescent="0.2">
      <c r="A24" s="170" t="s">
        <v>280</v>
      </c>
      <c r="B24" s="661">
        <f>DATOS!C93</f>
        <v>0</v>
      </c>
      <c r="C24" s="661">
        <f>DATOS!D93</f>
        <v>0</v>
      </c>
      <c r="D24" s="661">
        <f>DATOS!E93</f>
        <v>0</v>
      </c>
      <c r="E24" s="661">
        <f>DATOS!F93</f>
        <v>0</v>
      </c>
      <c r="F24" s="661">
        <f>DATOS!G93</f>
        <v>0</v>
      </c>
      <c r="G24" s="661">
        <f>DATOS!H93</f>
        <v>0</v>
      </c>
      <c r="H24" s="661">
        <f>DATOS!I93</f>
        <v>0</v>
      </c>
      <c r="I24" s="661">
        <f>DATOS!J93</f>
        <v>0</v>
      </c>
      <c r="J24" s="661">
        <f>DATOS!K93</f>
        <v>0</v>
      </c>
      <c r="K24" s="661">
        <f>DATOS!L93</f>
        <v>0</v>
      </c>
      <c r="L24" s="661">
        <f>DATOS!M93</f>
        <v>0</v>
      </c>
      <c r="M24" s="661">
        <f>DATOS!N93</f>
        <v>0</v>
      </c>
      <c r="N24" s="661">
        <f>DATOS!O93</f>
        <v>0</v>
      </c>
      <c r="O24" s="661">
        <f>DATOS!P93</f>
        <v>0</v>
      </c>
      <c r="P24" s="661">
        <f>DATOS!Q93</f>
        <v>0</v>
      </c>
      <c r="Q24" s="661">
        <f>DATOS!R93</f>
        <v>0</v>
      </c>
      <c r="R24" s="661">
        <f>DATOS!S93</f>
        <v>0</v>
      </c>
      <c r="S24" s="661">
        <f>DATOS!T93</f>
        <v>0</v>
      </c>
      <c r="T24" s="661">
        <f>DATOS!U93</f>
        <v>0</v>
      </c>
      <c r="U24" s="661">
        <f>DATOS!V93</f>
        <v>0</v>
      </c>
      <c r="V24" s="661">
        <f>DATOS!W93</f>
        <v>0</v>
      </c>
      <c r="W24" s="661">
        <f>DATOS!X93</f>
        <v>0</v>
      </c>
      <c r="X24" s="661">
        <f>DATOS!Y93</f>
        <v>0</v>
      </c>
      <c r="Y24" s="661">
        <f>DATOS!Z93</f>
        <v>0</v>
      </c>
      <c r="Z24" s="662">
        <f t="shared" si="0"/>
        <v>0</v>
      </c>
      <c r="AA24" s="662">
        <f t="shared" si="1"/>
        <v>0</v>
      </c>
    </row>
    <row r="25" spans="1:27" x14ac:dyDescent="0.2">
      <c r="A25" s="170" t="s">
        <v>654</v>
      </c>
      <c r="B25" s="661">
        <f>DATOS!C94</f>
        <v>8001.35</v>
      </c>
      <c r="C25" s="661">
        <f>DATOS!D94</f>
        <v>0</v>
      </c>
      <c r="D25" s="661">
        <f>DATOS!E94</f>
        <v>5938.13</v>
      </c>
      <c r="E25" s="661">
        <f>DATOS!F94</f>
        <v>0</v>
      </c>
      <c r="F25" s="661">
        <f>DATOS!G94</f>
        <v>6097.78</v>
      </c>
      <c r="G25" s="661">
        <f>DATOS!H94</f>
        <v>0</v>
      </c>
      <c r="H25" s="661">
        <f>DATOS!I94</f>
        <v>5360.66</v>
      </c>
      <c r="I25" s="661">
        <f>DATOS!J94</f>
        <v>0</v>
      </c>
      <c r="J25" s="661">
        <f>DATOS!K94</f>
        <v>8749.84</v>
      </c>
      <c r="K25" s="661">
        <f>DATOS!L94</f>
        <v>0</v>
      </c>
      <c r="L25" s="661">
        <f>DATOS!M94</f>
        <v>6853.68</v>
      </c>
      <c r="M25" s="661">
        <f>DATOS!N94</f>
        <v>0</v>
      </c>
      <c r="N25" s="661">
        <f>DATOS!O94</f>
        <v>10274.32</v>
      </c>
      <c r="O25" s="661">
        <f>DATOS!P94</f>
        <v>0</v>
      </c>
      <c r="P25" s="661">
        <f>DATOS!Q94</f>
        <v>1882.01</v>
      </c>
      <c r="Q25" s="661">
        <f>DATOS!R94</f>
        <v>0</v>
      </c>
      <c r="R25" s="661">
        <f>DATOS!S94</f>
        <v>9808.08</v>
      </c>
      <c r="S25" s="661">
        <f>DATOS!T94</f>
        <v>0</v>
      </c>
      <c r="T25" s="661">
        <f>DATOS!U94</f>
        <v>10389.24</v>
      </c>
      <c r="U25" s="661">
        <f>DATOS!V94</f>
        <v>0</v>
      </c>
      <c r="V25" s="661">
        <f>DATOS!W94</f>
        <v>9048.39</v>
      </c>
      <c r="W25" s="661">
        <f>DATOS!X94</f>
        <v>0</v>
      </c>
      <c r="X25" s="661">
        <f>DATOS!Y94</f>
        <v>8294.0400000000009</v>
      </c>
      <c r="Y25" s="661">
        <f>DATOS!Z94</f>
        <v>0</v>
      </c>
      <c r="Z25" s="662">
        <f t="shared" si="0"/>
        <v>90697.51999999999</v>
      </c>
      <c r="AA25" s="662">
        <f t="shared" si="1"/>
        <v>0</v>
      </c>
    </row>
    <row r="26" spans="1:27" x14ac:dyDescent="0.2">
      <c r="A26" s="1122" t="s">
        <v>752</v>
      </c>
      <c r="B26" s="661">
        <f>DATOS!C95</f>
        <v>0</v>
      </c>
      <c r="C26" s="661">
        <f>DATOS!D95</f>
        <v>100491.06</v>
      </c>
      <c r="D26" s="661">
        <f>DATOS!E95</f>
        <v>0</v>
      </c>
      <c r="E26" s="661">
        <f>DATOS!F95</f>
        <v>140829.41</v>
      </c>
      <c r="F26" s="661">
        <f>DATOS!G95</f>
        <v>516</v>
      </c>
      <c r="G26" s="661">
        <f>DATOS!H95</f>
        <v>106991.09</v>
      </c>
      <c r="H26" s="661">
        <f>DATOS!I95</f>
        <v>0</v>
      </c>
      <c r="I26" s="661">
        <f>DATOS!J95</f>
        <v>115177.02</v>
      </c>
      <c r="J26" s="661">
        <f>DATOS!K95</f>
        <v>0</v>
      </c>
      <c r="K26" s="661">
        <f>DATOS!L95</f>
        <v>131578.49</v>
      </c>
      <c r="L26" s="661">
        <f>DATOS!M95</f>
        <v>0</v>
      </c>
      <c r="M26" s="661">
        <f>DATOS!N95</f>
        <v>146938.93</v>
      </c>
      <c r="N26" s="661">
        <f>DATOS!O95</f>
        <v>0</v>
      </c>
      <c r="O26" s="661">
        <f>DATOS!P95</f>
        <v>1171781.1100000001</v>
      </c>
      <c r="P26" s="661">
        <f>DATOS!Q95</f>
        <v>0</v>
      </c>
      <c r="Q26" s="661">
        <f>DATOS!R95</f>
        <v>15263.97</v>
      </c>
      <c r="R26" s="661">
        <f>DATOS!S95</f>
        <v>0</v>
      </c>
      <c r="S26" s="661">
        <f>DATOS!T95</f>
        <v>163103.23000000001</v>
      </c>
      <c r="T26" s="661">
        <f>DATOS!U95</f>
        <v>0</v>
      </c>
      <c r="U26" s="661">
        <f>DATOS!V95</f>
        <v>168743.54</v>
      </c>
      <c r="V26" s="661">
        <f>DATOS!W95</f>
        <v>0</v>
      </c>
      <c r="W26" s="661">
        <f>DATOS!X95</f>
        <v>154602.73000000001</v>
      </c>
      <c r="X26" s="661">
        <f>DATOS!Y95</f>
        <v>2600.9499999999998</v>
      </c>
      <c r="Y26" s="661">
        <f>DATOS!Z95</f>
        <v>126420.76</v>
      </c>
      <c r="Z26" s="662">
        <f t="shared" si="0"/>
        <v>3116.95</v>
      </c>
      <c r="AA26" s="662">
        <f t="shared" si="1"/>
        <v>2541921.34</v>
      </c>
    </row>
    <row r="27" spans="1:27" x14ac:dyDescent="0.2">
      <c r="A27" s="170" t="s">
        <v>175</v>
      </c>
      <c r="B27" s="661">
        <f>DATOS!C96</f>
        <v>0</v>
      </c>
      <c r="C27" s="661">
        <f>DATOS!D96</f>
        <v>0</v>
      </c>
      <c r="D27" s="661">
        <f>DATOS!E96</f>
        <v>0</v>
      </c>
      <c r="E27" s="661">
        <f>DATOS!F96</f>
        <v>0</v>
      </c>
      <c r="F27" s="661">
        <f>DATOS!G96</f>
        <v>24.94</v>
      </c>
      <c r="G27" s="661">
        <f>DATOS!H96</f>
        <v>0</v>
      </c>
      <c r="H27" s="661">
        <f>DATOS!I96</f>
        <v>0</v>
      </c>
      <c r="I27" s="661">
        <f>DATOS!J96</f>
        <v>0</v>
      </c>
      <c r="J27" s="661">
        <f>DATOS!K96</f>
        <v>0</v>
      </c>
      <c r="K27" s="661">
        <f>DATOS!L96</f>
        <v>0</v>
      </c>
      <c r="L27" s="661">
        <f>DATOS!M96</f>
        <v>0</v>
      </c>
      <c r="M27" s="661">
        <f>DATOS!N96</f>
        <v>0</v>
      </c>
      <c r="N27" s="661">
        <f>DATOS!O96</f>
        <v>0</v>
      </c>
      <c r="O27" s="661">
        <f>DATOS!P96</f>
        <v>0</v>
      </c>
      <c r="P27" s="661">
        <f>DATOS!Q96</f>
        <v>0</v>
      </c>
      <c r="Q27" s="661">
        <f>DATOS!R96</f>
        <v>0</v>
      </c>
      <c r="R27" s="661">
        <f>DATOS!S96</f>
        <v>0</v>
      </c>
      <c r="S27" s="661">
        <f>DATOS!T96</f>
        <v>0</v>
      </c>
      <c r="T27" s="661">
        <f>DATOS!U96</f>
        <v>0</v>
      </c>
      <c r="U27" s="661">
        <f>DATOS!V96</f>
        <v>0</v>
      </c>
      <c r="V27" s="661">
        <f>DATOS!W96</f>
        <v>0</v>
      </c>
      <c r="W27" s="661">
        <f>DATOS!X96</f>
        <v>0</v>
      </c>
      <c r="X27" s="661">
        <f>DATOS!Y96</f>
        <v>0</v>
      </c>
      <c r="Y27" s="661">
        <f>DATOS!Z96</f>
        <v>0</v>
      </c>
      <c r="Z27" s="662">
        <f t="shared" si="0"/>
        <v>24.94</v>
      </c>
      <c r="AA27" s="662">
        <f t="shared" si="1"/>
        <v>0</v>
      </c>
    </row>
    <row r="28" spans="1:27" x14ac:dyDescent="0.2">
      <c r="A28" s="170" t="s">
        <v>174</v>
      </c>
      <c r="B28" s="661">
        <f>DATOS!C97</f>
        <v>0</v>
      </c>
      <c r="C28" s="661">
        <f>DATOS!D97</f>
        <v>0</v>
      </c>
      <c r="D28" s="661">
        <f>DATOS!E97</f>
        <v>0</v>
      </c>
      <c r="E28" s="661">
        <f>DATOS!F97</f>
        <v>0</v>
      </c>
      <c r="F28" s="661">
        <f>DATOS!G97</f>
        <v>0</v>
      </c>
      <c r="G28" s="661">
        <f>DATOS!H97</f>
        <v>0</v>
      </c>
      <c r="H28" s="661">
        <f>DATOS!I97</f>
        <v>0</v>
      </c>
      <c r="I28" s="661">
        <f>DATOS!J97</f>
        <v>0</v>
      </c>
      <c r="J28" s="661">
        <f>DATOS!K97</f>
        <v>0</v>
      </c>
      <c r="K28" s="661">
        <f>DATOS!L97</f>
        <v>0</v>
      </c>
      <c r="L28" s="661">
        <f>DATOS!M97</f>
        <v>0</v>
      </c>
      <c r="M28" s="661">
        <f>DATOS!N97</f>
        <v>0</v>
      </c>
      <c r="N28" s="661">
        <f>DATOS!O97</f>
        <v>0</v>
      </c>
      <c r="O28" s="661">
        <f>DATOS!P97</f>
        <v>0</v>
      </c>
      <c r="P28" s="661">
        <f>DATOS!Q97</f>
        <v>0</v>
      </c>
      <c r="Q28" s="661">
        <f>DATOS!R97</f>
        <v>0</v>
      </c>
      <c r="R28" s="661">
        <f>DATOS!S97</f>
        <v>0</v>
      </c>
      <c r="S28" s="661">
        <f>DATOS!T97</f>
        <v>0</v>
      </c>
      <c r="T28" s="661">
        <f>DATOS!U97</f>
        <v>0</v>
      </c>
      <c r="U28" s="661">
        <f>DATOS!V97</f>
        <v>0</v>
      </c>
      <c r="V28" s="661">
        <f>DATOS!W97</f>
        <v>0</v>
      </c>
      <c r="W28" s="661">
        <f>DATOS!X97</f>
        <v>0</v>
      </c>
      <c r="X28" s="661">
        <f>DATOS!Y97</f>
        <v>0</v>
      </c>
      <c r="Y28" s="661">
        <f>DATOS!Z97</f>
        <v>0</v>
      </c>
      <c r="Z28" s="662">
        <f t="shared" si="0"/>
        <v>0</v>
      </c>
      <c r="AA28" s="662">
        <f t="shared" si="1"/>
        <v>0</v>
      </c>
    </row>
    <row r="29" spans="1:27" x14ac:dyDescent="0.2">
      <c r="A29" s="170" t="s">
        <v>172</v>
      </c>
      <c r="B29" s="661">
        <f>DATOS!C98</f>
        <v>0</v>
      </c>
      <c r="C29" s="661">
        <f>DATOS!D98</f>
        <v>0</v>
      </c>
      <c r="D29" s="661">
        <f>DATOS!E98</f>
        <v>0</v>
      </c>
      <c r="E29" s="661">
        <f>DATOS!F98</f>
        <v>0</v>
      </c>
      <c r="F29" s="661">
        <f>DATOS!G98</f>
        <v>0</v>
      </c>
      <c r="G29" s="661">
        <f>DATOS!H98</f>
        <v>0</v>
      </c>
      <c r="H29" s="661">
        <f>DATOS!I98</f>
        <v>0</v>
      </c>
      <c r="I29" s="661">
        <f>DATOS!J98</f>
        <v>0</v>
      </c>
      <c r="J29" s="661">
        <f>DATOS!K98</f>
        <v>0</v>
      </c>
      <c r="K29" s="661">
        <f>DATOS!L98</f>
        <v>0</v>
      </c>
      <c r="L29" s="661">
        <f>DATOS!M98</f>
        <v>0</v>
      </c>
      <c r="M29" s="661">
        <f>DATOS!N98</f>
        <v>0</v>
      </c>
      <c r="N29" s="661">
        <f>DATOS!O98</f>
        <v>0</v>
      </c>
      <c r="O29" s="661">
        <f>DATOS!P98</f>
        <v>0</v>
      </c>
      <c r="P29" s="661">
        <f>DATOS!Q98</f>
        <v>0</v>
      </c>
      <c r="Q29" s="661">
        <f>DATOS!R98</f>
        <v>0</v>
      </c>
      <c r="R29" s="661">
        <f>DATOS!S98</f>
        <v>0</v>
      </c>
      <c r="S29" s="661">
        <f>DATOS!T98</f>
        <v>0</v>
      </c>
      <c r="T29" s="661">
        <f>DATOS!U98</f>
        <v>0</v>
      </c>
      <c r="U29" s="661">
        <f>DATOS!V98</f>
        <v>0</v>
      </c>
      <c r="V29" s="661">
        <f>DATOS!W98</f>
        <v>0</v>
      </c>
      <c r="W29" s="661">
        <f>DATOS!X98</f>
        <v>0</v>
      </c>
      <c r="X29" s="661">
        <f>DATOS!Y98</f>
        <v>0</v>
      </c>
      <c r="Y29" s="661">
        <f>DATOS!Z98</f>
        <v>0</v>
      </c>
      <c r="Z29" s="662">
        <f t="shared" si="0"/>
        <v>0</v>
      </c>
      <c r="AA29" s="662">
        <f t="shared" si="1"/>
        <v>0</v>
      </c>
    </row>
    <row r="30" spans="1:27" x14ac:dyDescent="0.2">
      <c r="A30" s="170" t="s">
        <v>171</v>
      </c>
      <c r="B30" s="661">
        <f>DATOS!C99</f>
        <v>493.2</v>
      </c>
      <c r="C30" s="661">
        <f>DATOS!D99</f>
        <v>0</v>
      </c>
      <c r="D30" s="661">
        <f>DATOS!E99</f>
        <v>192.98</v>
      </c>
      <c r="E30" s="661">
        <f>DATOS!F99</f>
        <v>0</v>
      </c>
      <c r="F30" s="661">
        <f>DATOS!G99</f>
        <v>6527.95</v>
      </c>
      <c r="G30" s="661">
        <f>DATOS!H99</f>
        <v>0</v>
      </c>
      <c r="H30" s="661">
        <f>DATOS!I99</f>
        <v>2898.76</v>
      </c>
      <c r="I30" s="661">
        <f>DATOS!J99</f>
        <v>0</v>
      </c>
      <c r="J30" s="661">
        <f>DATOS!K99</f>
        <v>10388.799999999999</v>
      </c>
      <c r="K30" s="661">
        <f>DATOS!L99</f>
        <v>0</v>
      </c>
      <c r="L30" s="661">
        <f>DATOS!M99</f>
        <v>5316.09</v>
      </c>
      <c r="M30" s="661">
        <f>DATOS!N99</f>
        <v>0</v>
      </c>
      <c r="N30" s="661">
        <f>DATOS!O99</f>
        <v>440.08</v>
      </c>
      <c r="O30" s="661">
        <f>DATOS!P99</f>
        <v>0</v>
      </c>
      <c r="P30" s="661">
        <f>DATOS!Q99</f>
        <v>0</v>
      </c>
      <c r="Q30" s="661">
        <f>DATOS!R99</f>
        <v>0</v>
      </c>
      <c r="R30" s="661">
        <f>DATOS!S99</f>
        <v>10691.69</v>
      </c>
      <c r="S30" s="661">
        <f>DATOS!T99</f>
        <v>0</v>
      </c>
      <c r="T30" s="661">
        <f>DATOS!U99</f>
        <v>18737.78</v>
      </c>
      <c r="U30" s="661">
        <f>DATOS!V99</f>
        <v>0</v>
      </c>
      <c r="V30" s="661">
        <f>DATOS!W99</f>
        <v>12680.21</v>
      </c>
      <c r="W30" s="661">
        <f>DATOS!X99</f>
        <v>0</v>
      </c>
      <c r="X30" s="661">
        <f>DATOS!Y99</f>
        <v>-157.30000000000001</v>
      </c>
      <c r="Y30" s="661">
        <f>DATOS!Z99</f>
        <v>0</v>
      </c>
      <c r="Z30" s="662">
        <f t="shared" si="0"/>
        <v>68210.240000000005</v>
      </c>
      <c r="AA30" s="662">
        <f t="shared" si="1"/>
        <v>0</v>
      </c>
    </row>
    <row r="31" spans="1:27" x14ac:dyDescent="0.2">
      <c r="A31" s="170" t="s">
        <v>424</v>
      </c>
      <c r="B31" s="661">
        <f>DATOS!C100</f>
        <v>76</v>
      </c>
      <c r="C31" s="661">
        <f>DATOS!D100</f>
        <v>0</v>
      </c>
      <c r="D31" s="661">
        <f>DATOS!E100</f>
        <v>76</v>
      </c>
      <c r="E31" s="661">
        <f>DATOS!F100</f>
        <v>0</v>
      </c>
      <c r="F31" s="661">
        <f>DATOS!G100</f>
        <v>0</v>
      </c>
      <c r="G31" s="661">
        <f>DATOS!H100</f>
        <v>0</v>
      </c>
      <c r="H31" s="661">
        <f>DATOS!I100</f>
        <v>0</v>
      </c>
      <c r="I31" s="661">
        <f>DATOS!J100</f>
        <v>0</v>
      </c>
      <c r="J31" s="661">
        <f>DATOS!K100</f>
        <v>228</v>
      </c>
      <c r="K31" s="661">
        <f>DATOS!L100</f>
        <v>0</v>
      </c>
      <c r="L31" s="661">
        <f>DATOS!M100</f>
        <v>0</v>
      </c>
      <c r="M31" s="661">
        <f>DATOS!N100</f>
        <v>0</v>
      </c>
      <c r="N31" s="661">
        <f>DATOS!O100</f>
        <v>0</v>
      </c>
      <c r="O31" s="661">
        <f>DATOS!P100</f>
        <v>0</v>
      </c>
      <c r="P31" s="661">
        <f>DATOS!Q100</f>
        <v>0</v>
      </c>
      <c r="Q31" s="661">
        <f>DATOS!R100</f>
        <v>0</v>
      </c>
      <c r="R31" s="661">
        <f>DATOS!S100</f>
        <v>284.8</v>
      </c>
      <c r="S31" s="661">
        <f>DATOS!T100</f>
        <v>0</v>
      </c>
      <c r="T31" s="661">
        <f>DATOS!U100</f>
        <v>0</v>
      </c>
      <c r="U31" s="661">
        <f>DATOS!V100</f>
        <v>0</v>
      </c>
      <c r="V31" s="661">
        <f>DATOS!W100</f>
        <v>76</v>
      </c>
      <c r="W31" s="661">
        <f>DATOS!X100</f>
        <v>0</v>
      </c>
      <c r="X31" s="661">
        <f>DATOS!Y100</f>
        <v>88.8</v>
      </c>
      <c r="Y31" s="661">
        <f>DATOS!Z100</f>
        <v>0</v>
      </c>
      <c r="Z31" s="662">
        <f t="shared" si="0"/>
        <v>829.59999999999991</v>
      </c>
      <c r="AA31" s="662">
        <f t="shared" si="1"/>
        <v>0</v>
      </c>
    </row>
    <row r="32" spans="1:27" x14ac:dyDescent="0.2">
      <c r="A32" s="170" t="s">
        <v>170</v>
      </c>
      <c r="B32" s="661">
        <f>DATOS!C101</f>
        <v>0</v>
      </c>
      <c r="C32" s="661">
        <f>DATOS!D101</f>
        <v>0</v>
      </c>
      <c r="D32" s="661">
        <f>DATOS!E101</f>
        <v>0</v>
      </c>
      <c r="E32" s="661">
        <f>DATOS!F101</f>
        <v>0</v>
      </c>
      <c r="F32" s="661">
        <f>DATOS!G101</f>
        <v>0</v>
      </c>
      <c r="G32" s="661">
        <f>DATOS!H101</f>
        <v>0</v>
      </c>
      <c r="H32" s="661">
        <f>DATOS!I101</f>
        <v>0</v>
      </c>
      <c r="I32" s="661">
        <f>DATOS!J101</f>
        <v>0</v>
      </c>
      <c r="J32" s="661">
        <f>DATOS!K101</f>
        <v>0</v>
      </c>
      <c r="K32" s="661">
        <f>DATOS!L101</f>
        <v>0</v>
      </c>
      <c r="L32" s="661">
        <f>DATOS!M101</f>
        <v>0</v>
      </c>
      <c r="M32" s="661">
        <f>DATOS!N101</f>
        <v>0</v>
      </c>
      <c r="N32" s="661">
        <f>DATOS!O101</f>
        <v>0</v>
      </c>
      <c r="O32" s="661">
        <f>DATOS!P101</f>
        <v>0</v>
      </c>
      <c r="P32" s="661">
        <f>DATOS!Q101</f>
        <v>0</v>
      </c>
      <c r="Q32" s="661">
        <f>DATOS!R101</f>
        <v>0</v>
      </c>
      <c r="R32" s="661">
        <f>DATOS!S101</f>
        <v>0</v>
      </c>
      <c r="S32" s="661">
        <f>DATOS!T101</f>
        <v>0</v>
      </c>
      <c r="T32" s="661">
        <f>DATOS!U101</f>
        <v>0</v>
      </c>
      <c r="U32" s="661">
        <f>DATOS!V101</f>
        <v>0</v>
      </c>
      <c r="V32" s="661">
        <f>DATOS!W101</f>
        <v>0</v>
      </c>
      <c r="W32" s="661">
        <f>DATOS!X101</f>
        <v>0</v>
      </c>
      <c r="X32" s="661">
        <f>DATOS!Y101</f>
        <v>0</v>
      </c>
      <c r="Y32" s="661">
        <f>DATOS!Z101</f>
        <v>0</v>
      </c>
      <c r="Z32" s="662">
        <f t="shared" si="0"/>
        <v>0</v>
      </c>
      <c r="AA32" s="662">
        <f t="shared" si="1"/>
        <v>0</v>
      </c>
    </row>
    <row r="33" spans="1:27" x14ac:dyDescent="0.2">
      <c r="A33" s="170" t="s">
        <v>650</v>
      </c>
      <c r="B33" s="661">
        <f>DATOS!C102</f>
        <v>0</v>
      </c>
      <c r="C33" s="661">
        <f>DATOS!D102</f>
        <v>0</v>
      </c>
      <c r="D33" s="661">
        <f>DATOS!E102</f>
        <v>0</v>
      </c>
      <c r="E33" s="661">
        <f>DATOS!F102</f>
        <v>0</v>
      </c>
      <c r="F33" s="661">
        <f>DATOS!G102</f>
        <v>0</v>
      </c>
      <c r="G33" s="661">
        <f>DATOS!H102</f>
        <v>0</v>
      </c>
      <c r="H33" s="661">
        <f>DATOS!I102</f>
        <v>0</v>
      </c>
      <c r="I33" s="661">
        <f>DATOS!J102</f>
        <v>0</v>
      </c>
      <c r="J33" s="661">
        <f>DATOS!K102</f>
        <v>0</v>
      </c>
      <c r="K33" s="661">
        <f>DATOS!L102</f>
        <v>0</v>
      </c>
      <c r="L33" s="661">
        <f>DATOS!M102</f>
        <v>0</v>
      </c>
      <c r="M33" s="661">
        <f>DATOS!N102</f>
        <v>0</v>
      </c>
      <c r="N33" s="661">
        <f>DATOS!O102</f>
        <v>0</v>
      </c>
      <c r="O33" s="661">
        <f>DATOS!P102</f>
        <v>0</v>
      </c>
      <c r="P33" s="661">
        <f>DATOS!Q102</f>
        <v>0</v>
      </c>
      <c r="Q33" s="661">
        <f>DATOS!R102</f>
        <v>0</v>
      </c>
      <c r="R33" s="661">
        <f>DATOS!S102</f>
        <v>0</v>
      </c>
      <c r="S33" s="661">
        <f>DATOS!T102</f>
        <v>0</v>
      </c>
      <c r="T33" s="661">
        <f>DATOS!U102</f>
        <v>0</v>
      </c>
      <c r="U33" s="661">
        <f>DATOS!V102</f>
        <v>0</v>
      </c>
      <c r="V33" s="661">
        <f>DATOS!W102</f>
        <v>0</v>
      </c>
      <c r="W33" s="661">
        <f>DATOS!X102</f>
        <v>0</v>
      </c>
      <c r="X33" s="661">
        <f>DATOS!Y102</f>
        <v>0</v>
      </c>
      <c r="Y33" s="661">
        <f>DATOS!Z102</f>
        <v>0</v>
      </c>
      <c r="Z33" s="662">
        <f t="shared" si="0"/>
        <v>0</v>
      </c>
      <c r="AA33" s="662">
        <f t="shared" si="1"/>
        <v>0</v>
      </c>
    </row>
    <row r="34" spans="1:27" x14ac:dyDescent="0.2">
      <c r="A34" s="170" t="s">
        <v>641</v>
      </c>
      <c r="B34" s="661">
        <f>DATOS!C103</f>
        <v>0</v>
      </c>
      <c r="C34" s="661">
        <f>DATOS!D103</f>
        <v>0</v>
      </c>
      <c r="D34" s="661">
        <f>DATOS!E103</f>
        <v>0</v>
      </c>
      <c r="E34" s="661">
        <f>DATOS!F103</f>
        <v>0</v>
      </c>
      <c r="F34" s="661">
        <f>DATOS!G103</f>
        <v>1809.27</v>
      </c>
      <c r="G34" s="661">
        <f>DATOS!H103</f>
        <v>0</v>
      </c>
      <c r="H34" s="661">
        <f>DATOS!I103</f>
        <v>0</v>
      </c>
      <c r="I34" s="661">
        <f>DATOS!J103</f>
        <v>0</v>
      </c>
      <c r="J34" s="661">
        <f>DATOS!K103</f>
        <v>5463.92</v>
      </c>
      <c r="K34" s="661">
        <f>DATOS!L103</f>
        <v>0</v>
      </c>
      <c r="L34" s="661">
        <f>DATOS!M103</f>
        <v>0</v>
      </c>
      <c r="M34" s="661">
        <f>DATOS!N103</f>
        <v>0</v>
      </c>
      <c r="N34" s="661">
        <f>DATOS!O103</f>
        <v>3563.12</v>
      </c>
      <c r="O34" s="661">
        <f>DATOS!P103</f>
        <v>0</v>
      </c>
      <c r="P34" s="661">
        <f>DATOS!Q103</f>
        <v>517.69000000000005</v>
      </c>
      <c r="Q34" s="661">
        <f>DATOS!R103</f>
        <v>0</v>
      </c>
      <c r="R34" s="661">
        <f>DATOS!S103</f>
        <v>5331.11</v>
      </c>
      <c r="S34" s="661">
        <f>DATOS!T103</f>
        <v>0</v>
      </c>
      <c r="T34" s="661">
        <f>DATOS!U103</f>
        <v>13.53</v>
      </c>
      <c r="U34" s="661">
        <f>DATOS!V103</f>
        <v>0</v>
      </c>
      <c r="V34" s="661">
        <f>DATOS!W103</f>
        <v>542.73</v>
      </c>
      <c r="W34" s="661">
        <f>DATOS!X103</f>
        <v>0</v>
      </c>
      <c r="X34" s="661">
        <f>DATOS!Y103</f>
        <v>4990.08</v>
      </c>
      <c r="Y34" s="661">
        <f>DATOS!Z103</f>
        <v>0</v>
      </c>
      <c r="Z34" s="662">
        <f t="shared" si="0"/>
        <v>22231.449999999997</v>
      </c>
      <c r="AA34" s="662">
        <f t="shared" si="1"/>
        <v>0</v>
      </c>
    </row>
    <row r="35" spans="1:27" x14ac:dyDescent="0.2">
      <c r="A35" s="170" t="s">
        <v>166</v>
      </c>
      <c r="B35" s="661">
        <f>DATOS!C104</f>
        <v>2756.78</v>
      </c>
      <c r="C35" s="661">
        <f>DATOS!D104</f>
        <v>0</v>
      </c>
      <c r="D35" s="661">
        <f>DATOS!E104</f>
        <v>2486.34</v>
      </c>
      <c r="E35" s="661">
        <f>DATOS!F104</f>
        <v>0</v>
      </c>
      <c r="F35" s="661">
        <f>DATOS!G104</f>
        <v>3326.53</v>
      </c>
      <c r="G35" s="661">
        <f>DATOS!H104</f>
        <v>0</v>
      </c>
      <c r="H35" s="661">
        <f>DATOS!I104</f>
        <v>1364.38</v>
      </c>
      <c r="I35" s="661">
        <f>DATOS!J104</f>
        <v>0</v>
      </c>
      <c r="J35" s="661">
        <f>DATOS!K104</f>
        <v>3160.5</v>
      </c>
      <c r="K35" s="661">
        <f>DATOS!L104</f>
        <v>0</v>
      </c>
      <c r="L35" s="661">
        <f>DATOS!M104</f>
        <v>2566</v>
      </c>
      <c r="M35" s="661">
        <f>DATOS!N104</f>
        <v>0</v>
      </c>
      <c r="N35" s="661">
        <f>DATOS!O104</f>
        <v>3544.42</v>
      </c>
      <c r="O35" s="661">
        <f>DATOS!P104</f>
        <v>0</v>
      </c>
      <c r="P35" s="661">
        <f>DATOS!Q104</f>
        <v>1158.6400000000001</v>
      </c>
      <c r="Q35" s="661">
        <f>DATOS!R104</f>
        <v>0</v>
      </c>
      <c r="R35" s="661">
        <f>DATOS!S104</f>
        <v>906.75</v>
      </c>
      <c r="S35" s="661">
        <f>DATOS!T104</f>
        <v>0</v>
      </c>
      <c r="T35" s="661">
        <f>DATOS!U104</f>
        <v>1744</v>
      </c>
      <c r="U35" s="661">
        <f>DATOS!V104</f>
        <v>0</v>
      </c>
      <c r="V35" s="661">
        <f>DATOS!W104</f>
        <v>2624.15</v>
      </c>
      <c r="W35" s="661">
        <f>DATOS!X104</f>
        <v>0</v>
      </c>
      <c r="X35" s="661">
        <f>DATOS!Y104</f>
        <v>1768.2</v>
      </c>
      <c r="Y35" s="661">
        <f>DATOS!Z104</f>
        <v>0</v>
      </c>
      <c r="Z35" s="662">
        <f t="shared" si="0"/>
        <v>27406.690000000006</v>
      </c>
      <c r="AA35" s="662">
        <f t="shared" si="1"/>
        <v>0</v>
      </c>
    </row>
    <row r="36" spans="1:27" x14ac:dyDescent="0.2">
      <c r="A36" s="170" t="s">
        <v>168</v>
      </c>
      <c r="B36" s="661">
        <f>DATOS!C105</f>
        <v>0</v>
      </c>
      <c r="C36" s="661">
        <f>DATOS!D105</f>
        <v>0</v>
      </c>
      <c r="D36" s="661">
        <f>DATOS!E105</f>
        <v>0</v>
      </c>
      <c r="E36" s="661">
        <f>DATOS!F105</f>
        <v>0</v>
      </c>
      <c r="F36" s="661">
        <f>DATOS!G105</f>
        <v>0</v>
      </c>
      <c r="G36" s="661">
        <f>DATOS!H105</f>
        <v>0</v>
      </c>
      <c r="H36" s="661">
        <f>DATOS!I105</f>
        <v>0</v>
      </c>
      <c r="I36" s="661">
        <f>DATOS!J105</f>
        <v>0</v>
      </c>
      <c r="J36" s="661">
        <f>DATOS!K105</f>
        <v>0</v>
      </c>
      <c r="K36" s="661">
        <f>DATOS!L105</f>
        <v>0</v>
      </c>
      <c r="L36" s="661">
        <f>DATOS!M105</f>
        <v>0</v>
      </c>
      <c r="M36" s="661">
        <f>DATOS!N105</f>
        <v>0</v>
      </c>
      <c r="N36" s="661">
        <f>DATOS!O105</f>
        <v>0</v>
      </c>
      <c r="O36" s="661">
        <f>DATOS!P105</f>
        <v>0</v>
      </c>
      <c r="P36" s="661">
        <f>DATOS!Q105</f>
        <v>0</v>
      </c>
      <c r="Q36" s="661">
        <f>DATOS!R105</f>
        <v>0</v>
      </c>
      <c r="R36" s="661">
        <f>DATOS!S105</f>
        <v>0</v>
      </c>
      <c r="S36" s="661">
        <f>DATOS!T105</f>
        <v>0</v>
      </c>
      <c r="T36" s="661">
        <f>DATOS!U105</f>
        <v>0</v>
      </c>
      <c r="U36" s="661">
        <f>DATOS!V105</f>
        <v>0</v>
      </c>
      <c r="V36" s="661">
        <f>DATOS!W105</f>
        <v>0</v>
      </c>
      <c r="W36" s="661">
        <f>DATOS!X105</f>
        <v>0</v>
      </c>
      <c r="X36" s="661">
        <f>DATOS!Y105</f>
        <v>0</v>
      </c>
      <c r="Y36" s="661">
        <f>DATOS!Z105</f>
        <v>0</v>
      </c>
      <c r="Z36" s="662">
        <f t="shared" si="0"/>
        <v>0</v>
      </c>
      <c r="AA36" s="662">
        <f t="shared" si="1"/>
        <v>0</v>
      </c>
    </row>
    <row r="37" spans="1:27" x14ac:dyDescent="0.2">
      <c r="A37" s="1122" t="s">
        <v>753</v>
      </c>
      <c r="B37" s="661">
        <f>DATOS!C106</f>
        <v>0</v>
      </c>
      <c r="C37" s="661">
        <f>DATOS!D106</f>
        <v>0</v>
      </c>
      <c r="D37" s="661">
        <f>DATOS!E106</f>
        <v>0</v>
      </c>
      <c r="E37" s="661">
        <f>DATOS!F106</f>
        <v>0</v>
      </c>
      <c r="F37" s="661">
        <f>DATOS!G106</f>
        <v>0</v>
      </c>
      <c r="G37" s="661">
        <f>DATOS!H106</f>
        <v>0</v>
      </c>
      <c r="H37" s="661">
        <f>DATOS!I106</f>
        <v>0</v>
      </c>
      <c r="I37" s="661">
        <f>DATOS!J106</f>
        <v>0</v>
      </c>
      <c r="J37" s="661">
        <f>DATOS!K106</f>
        <v>0</v>
      </c>
      <c r="K37" s="661">
        <f>DATOS!L106</f>
        <v>0</v>
      </c>
      <c r="L37" s="661">
        <f>DATOS!M106</f>
        <v>0</v>
      </c>
      <c r="M37" s="661">
        <f>DATOS!N106</f>
        <v>0</v>
      </c>
      <c r="N37" s="661">
        <f>DATOS!O106</f>
        <v>0</v>
      </c>
      <c r="O37" s="661">
        <f>DATOS!P106</f>
        <v>0</v>
      </c>
      <c r="P37" s="661">
        <f>DATOS!Q106</f>
        <v>0</v>
      </c>
      <c r="Q37" s="661">
        <f>DATOS!R106</f>
        <v>0</v>
      </c>
      <c r="R37" s="661">
        <f>DATOS!S106</f>
        <v>0</v>
      </c>
      <c r="S37" s="661">
        <f>DATOS!T106</f>
        <v>0</v>
      </c>
      <c r="T37" s="661">
        <f>DATOS!U106</f>
        <v>0</v>
      </c>
      <c r="U37" s="661">
        <f>DATOS!V106</f>
        <v>0</v>
      </c>
      <c r="V37" s="661">
        <f>DATOS!W106</f>
        <v>0</v>
      </c>
      <c r="W37" s="661">
        <f>DATOS!X106</f>
        <v>0</v>
      </c>
      <c r="X37" s="661">
        <f>DATOS!Y106</f>
        <v>0</v>
      </c>
      <c r="Y37" s="661">
        <f>DATOS!Z106</f>
        <v>0</v>
      </c>
      <c r="Z37" s="662">
        <f t="shared" si="0"/>
        <v>0</v>
      </c>
      <c r="AA37" s="662">
        <f t="shared" si="1"/>
        <v>0</v>
      </c>
    </row>
    <row r="38" spans="1:27" x14ac:dyDescent="0.2">
      <c r="A38" s="170" t="s">
        <v>167</v>
      </c>
      <c r="B38" s="661">
        <f>DATOS!C107</f>
        <v>0</v>
      </c>
      <c r="C38" s="661">
        <f>DATOS!D107</f>
        <v>0</v>
      </c>
      <c r="D38" s="661">
        <f>DATOS!E107</f>
        <v>78.75</v>
      </c>
      <c r="E38" s="661">
        <f>DATOS!F107</f>
        <v>0</v>
      </c>
      <c r="F38" s="661">
        <f>DATOS!G107</f>
        <v>184.58</v>
      </c>
      <c r="G38" s="661">
        <f>DATOS!H107</f>
        <v>0</v>
      </c>
      <c r="H38" s="661">
        <f>DATOS!I107</f>
        <v>0</v>
      </c>
      <c r="I38" s="661">
        <f>DATOS!J107</f>
        <v>0</v>
      </c>
      <c r="J38" s="661">
        <f>DATOS!K107</f>
        <v>11.95</v>
      </c>
      <c r="K38" s="661">
        <f>DATOS!L107</f>
        <v>0</v>
      </c>
      <c r="L38" s="661">
        <f>DATOS!M107</f>
        <v>0</v>
      </c>
      <c r="M38" s="661">
        <f>DATOS!N107</f>
        <v>0</v>
      </c>
      <c r="N38" s="661">
        <f>DATOS!O107</f>
        <v>95.36</v>
      </c>
      <c r="O38" s="661">
        <f>DATOS!P107</f>
        <v>0</v>
      </c>
      <c r="P38" s="661">
        <f>DATOS!Q107</f>
        <v>0</v>
      </c>
      <c r="Q38" s="661">
        <f>DATOS!R107</f>
        <v>0</v>
      </c>
      <c r="R38" s="661">
        <f>DATOS!S107</f>
        <v>0</v>
      </c>
      <c r="S38" s="661">
        <f>DATOS!T107</f>
        <v>0</v>
      </c>
      <c r="T38" s="661">
        <f>DATOS!U107</f>
        <v>0</v>
      </c>
      <c r="U38" s="661">
        <f>DATOS!V107</f>
        <v>0</v>
      </c>
      <c r="V38" s="661">
        <f>DATOS!W107</f>
        <v>30</v>
      </c>
      <c r="W38" s="661">
        <f>DATOS!X107</f>
        <v>0</v>
      </c>
      <c r="X38" s="661">
        <f>DATOS!Y107</f>
        <v>260.98</v>
      </c>
      <c r="Y38" s="661">
        <f>DATOS!Z107</f>
        <v>0</v>
      </c>
      <c r="Z38" s="662">
        <f t="shared" si="0"/>
        <v>661.62000000000012</v>
      </c>
      <c r="AA38" s="662">
        <f t="shared" si="1"/>
        <v>0</v>
      </c>
    </row>
    <row r="39" spans="1:27" x14ac:dyDescent="0.2">
      <c r="A39" s="1122" t="s">
        <v>754</v>
      </c>
      <c r="B39" s="661">
        <f>DATOS!C108</f>
        <v>0</v>
      </c>
      <c r="C39" s="661">
        <f>DATOS!D108</f>
        <v>0</v>
      </c>
      <c r="D39" s="661">
        <f>DATOS!E108</f>
        <v>0</v>
      </c>
      <c r="E39" s="661">
        <f>DATOS!F108</f>
        <v>0</v>
      </c>
      <c r="F39" s="661">
        <f>DATOS!G108</f>
        <v>0</v>
      </c>
      <c r="G39" s="661">
        <f>DATOS!H108</f>
        <v>0</v>
      </c>
      <c r="H39" s="661">
        <f>DATOS!I108</f>
        <v>0</v>
      </c>
      <c r="I39" s="661">
        <f>DATOS!J108</f>
        <v>0</v>
      </c>
      <c r="J39" s="661">
        <f>DATOS!K108</f>
        <v>0</v>
      </c>
      <c r="K39" s="661">
        <f>DATOS!L108</f>
        <v>0</v>
      </c>
      <c r="L39" s="661">
        <f>DATOS!M108</f>
        <v>0</v>
      </c>
      <c r="M39" s="661">
        <f>DATOS!N108</f>
        <v>0</v>
      </c>
      <c r="N39" s="661">
        <f>DATOS!O108</f>
        <v>0</v>
      </c>
      <c r="O39" s="661">
        <f>DATOS!P108</f>
        <v>0</v>
      </c>
      <c r="P39" s="661">
        <f>DATOS!Q108</f>
        <v>0</v>
      </c>
      <c r="Q39" s="661">
        <f>DATOS!R108</f>
        <v>0</v>
      </c>
      <c r="R39" s="661">
        <f>DATOS!S108</f>
        <v>0</v>
      </c>
      <c r="S39" s="661">
        <f>DATOS!T108</f>
        <v>0</v>
      </c>
      <c r="T39" s="661">
        <f>DATOS!U108</f>
        <v>0</v>
      </c>
      <c r="U39" s="661">
        <f>DATOS!V108</f>
        <v>0</v>
      </c>
      <c r="V39" s="661">
        <f>DATOS!W108</f>
        <v>0</v>
      </c>
      <c r="W39" s="661">
        <f>DATOS!X108</f>
        <v>0</v>
      </c>
      <c r="X39" s="661">
        <f>DATOS!Y108</f>
        <v>0</v>
      </c>
      <c r="Y39" s="661">
        <f>DATOS!Z108</f>
        <v>0</v>
      </c>
      <c r="Z39" s="662">
        <f t="shared" si="0"/>
        <v>0</v>
      </c>
      <c r="AA39" s="662">
        <f t="shared" si="1"/>
        <v>0</v>
      </c>
    </row>
    <row r="40" spans="1:27" x14ac:dyDescent="0.2">
      <c r="A40" s="170" t="s">
        <v>277</v>
      </c>
      <c r="B40" s="661">
        <f>DATOS!C110</f>
        <v>0</v>
      </c>
      <c r="C40" s="661">
        <f>DATOS!D110</f>
        <v>0</v>
      </c>
      <c r="D40" s="661">
        <f>DATOS!E110</f>
        <v>0</v>
      </c>
      <c r="E40" s="661">
        <f>DATOS!F110</f>
        <v>0</v>
      </c>
      <c r="F40" s="661">
        <f>DATOS!G110</f>
        <v>0</v>
      </c>
      <c r="G40" s="661">
        <f>DATOS!H110</f>
        <v>0</v>
      </c>
      <c r="H40" s="661">
        <f>DATOS!I110</f>
        <v>0</v>
      </c>
      <c r="I40" s="661">
        <f>DATOS!J110</f>
        <v>0</v>
      </c>
      <c r="J40" s="661">
        <f>DATOS!K110</f>
        <v>128.75</v>
      </c>
      <c r="K40" s="661">
        <f>DATOS!L110</f>
        <v>0</v>
      </c>
      <c r="L40" s="661">
        <f>DATOS!M110</f>
        <v>0</v>
      </c>
      <c r="M40" s="661">
        <f>DATOS!N110</f>
        <v>0</v>
      </c>
      <c r="N40" s="661">
        <f>DATOS!O110</f>
        <v>0</v>
      </c>
      <c r="O40" s="661">
        <f>DATOS!P110</f>
        <v>0</v>
      </c>
      <c r="P40" s="661">
        <f>DATOS!Q110</f>
        <v>0</v>
      </c>
      <c r="Q40" s="661">
        <f>DATOS!R110</f>
        <v>0</v>
      </c>
      <c r="R40" s="661">
        <f>DATOS!S110</f>
        <v>0</v>
      </c>
      <c r="S40" s="661">
        <f>DATOS!T110</f>
        <v>0</v>
      </c>
      <c r="T40" s="661">
        <f>DATOS!U110</f>
        <v>0</v>
      </c>
      <c r="U40" s="661">
        <f>DATOS!V110</f>
        <v>0</v>
      </c>
      <c r="V40" s="661">
        <f>DATOS!W110</f>
        <v>0</v>
      </c>
      <c r="W40" s="661">
        <f>DATOS!X110</f>
        <v>0</v>
      </c>
      <c r="X40" s="661">
        <f>DATOS!Y110</f>
        <v>0</v>
      </c>
      <c r="Y40" s="661">
        <f>DATOS!Z110</f>
        <v>0</v>
      </c>
      <c r="Z40" s="662">
        <f t="shared" si="0"/>
        <v>128.75</v>
      </c>
      <c r="AA40" s="662">
        <f t="shared" si="1"/>
        <v>0</v>
      </c>
    </row>
    <row r="41" spans="1:27" x14ac:dyDescent="0.2">
      <c r="A41" s="170" t="s">
        <v>378</v>
      </c>
      <c r="B41" s="661">
        <f>DATOS!C111</f>
        <v>0</v>
      </c>
      <c r="C41" s="661">
        <f>DATOS!D111</f>
        <v>0</v>
      </c>
      <c r="D41" s="661">
        <f>DATOS!E111</f>
        <v>0</v>
      </c>
      <c r="E41" s="661">
        <f>DATOS!F111</f>
        <v>0</v>
      </c>
      <c r="F41" s="661">
        <f>DATOS!G111</f>
        <v>0</v>
      </c>
      <c r="G41" s="661">
        <f>DATOS!H111</f>
        <v>0</v>
      </c>
      <c r="H41" s="661">
        <f>DATOS!I111</f>
        <v>0</v>
      </c>
      <c r="I41" s="661">
        <f>DATOS!J111</f>
        <v>0</v>
      </c>
      <c r="J41" s="661">
        <f>DATOS!K111</f>
        <v>0</v>
      </c>
      <c r="K41" s="661">
        <f>DATOS!L111</f>
        <v>0</v>
      </c>
      <c r="L41" s="661">
        <f>DATOS!M111</f>
        <v>0</v>
      </c>
      <c r="M41" s="661">
        <f>DATOS!N111</f>
        <v>0</v>
      </c>
      <c r="N41" s="661">
        <f>DATOS!O111</f>
        <v>0</v>
      </c>
      <c r="O41" s="661">
        <f>DATOS!P111</f>
        <v>0</v>
      </c>
      <c r="P41" s="661">
        <f>DATOS!Q111</f>
        <v>0</v>
      </c>
      <c r="Q41" s="661">
        <f>DATOS!R111</f>
        <v>0</v>
      </c>
      <c r="R41" s="661">
        <f>DATOS!S111</f>
        <v>0</v>
      </c>
      <c r="S41" s="661">
        <f>DATOS!T111</f>
        <v>0</v>
      </c>
      <c r="T41" s="661">
        <f>DATOS!U111</f>
        <v>0</v>
      </c>
      <c r="U41" s="661">
        <f>DATOS!V111</f>
        <v>0</v>
      </c>
      <c r="V41" s="661">
        <f>DATOS!W111</f>
        <v>0</v>
      </c>
      <c r="W41" s="661">
        <f>DATOS!X111</f>
        <v>0</v>
      </c>
      <c r="X41" s="661">
        <f>DATOS!Y111</f>
        <v>0</v>
      </c>
      <c r="Y41" s="661">
        <f>DATOS!Z111</f>
        <v>0</v>
      </c>
      <c r="Z41" s="662">
        <f t="shared" si="0"/>
        <v>0</v>
      </c>
      <c r="AA41" s="662">
        <f t="shared" si="1"/>
        <v>0</v>
      </c>
    </row>
    <row r="42" spans="1:27" x14ac:dyDescent="0.2">
      <c r="A42" s="169" t="s">
        <v>642</v>
      </c>
      <c r="B42" s="661">
        <f>DATOS!C112</f>
        <v>0</v>
      </c>
      <c r="C42" s="661">
        <f>DATOS!D112</f>
        <v>0</v>
      </c>
      <c r="D42" s="661">
        <f>DATOS!E112</f>
        <v>0</v>
      </c>
      <c r="E42" s="661">
        <f>DATOS!F112</f>
        <v>0</v>
      </c>
      <c r="F42" s="661">
        <f>DATOS!G112</f>
        <v>0</v>
      </c>
      <c r="G42" s="661">
        <f>DATOS!H112</f>
        <v>0</v>
      </c>
      <c r="H42" s="661">
        <f>DATOS!I112</f>
        <v>0</v>
      </c>
      <c r="I42" s="661">
        <f>DATOS!J112</f>
        <v>0</v>
      </c>
      <c r="J42" s="661">
        <f>DATOS!K112</f>
        <v>0</v>
      </c>
      <c r="K42" s="661">
        <f>DATOS!L112</f>
        <v>0</v>
      </c>
      <c r="L42" s="661">
        <f>DATOS!M112</f>
        <v>0</v>
      </c>
      <c r="M42" s="661">
        <f>DATOS!N112</f>
        <v>0</v>
      </c>
      <c r="N42" s="661">
        <f>DATOS!O112</f>
        <v>0</v>
      </c>
      <c r="O42" s="661">
        <f>DATOS!P112</f>
        <v>0</v>
      </c>
      <c r="P42" s="661">
        <f>DATOS!Q112</f>
        <v>0</v>
      </c>
      <c r="Q42" s="661">
        <f>DATOS!R112</f>
        <v>0</v>
      </c>
      <c r="R42" s="661">
        <f>DATOS!S112</f>
        <v>0</v>
      </c>
      <c r="S42" s="661">
        <f>DATOS!T112</f>
        <v>0</v>
      </c>
      <c r="T42" s="661">
        <f>DATOS!U112</f>
        <v>0</v>
      </c>
      <c r="U42" s="661">
        <f>DATOS!V112</f>
        <v>0</v>
      </c>
      <c r="V42" s="661">
        <f>DATOS!W112</f>
        <v>0</v>
      </c>
      <c r="W42" s="661">
        <f>DATOS!X112</f>
        <v>0</v>
      </c>
      <c r="X42" s="661">
        <f>DATOS!Y112</f>
        <v>0</v>
      </c>
      <c r="Y42" s="661">
        <f>DATOS!Z112</f>
        <v>0</v>
      </c>
      <c r="Z42" s="662">
        <f t="shared" si="0"/>
        <v>0</v>
      </c>
      <c r="AA42" s="662">
        <f t="shared" si="1"/>
        <v>0</v>
      </c>
    </row>
    <row r="43" spans="1:27" x14ac:dyDescent="0.2">
      <c r="A43" s="169" t="s">
        <v>422</v>
      </c>
      <c r="B43" s="661">
        <f>DATOS!C113</f>
        <v>0</v>
      </c>
      <c r="C43" s="661">
        <f>DATOS!D113</f>
        <v>0</v>
      </c>
      <c r="D43" s="661">
        <f>DATOS!E113</f>
        <v>0</v>
      </c>
      <c r="E43" s="661">
        <f>DATOS!F113</f>
        <v>0</v>
      </c>
      <c r="F43" s="661">
        <f>DATOS!G113</f>
        <v>0</v>
      </c>
      <c r="G43" s="661">
        <f>DATOS!H113</f>
        <v>0</v>
      </c>
      <c r="H43" s="661">
        <f>DATOS!I113</f>
        <v>0</v>
      </c>
      <c r="I43" s="661">
        <f>DATOS!J113</f>
        <v>0</v>
      </c>
      <c r="J43" s="661">
        <f>DATOS!K113</f>
        <v>0</v>
      </c>
      <c r="K43" s="661">
        <f>DATOS!L113</f>
        <v>0</v>
      </c>
      <c r="L43" s="661">
        <f>DATOS!M113</f>
        <v>0</v>
      </c>
      <c r="M43" s="661">
        <f>DATOS!N113</f>
        <v>0</v>
      </c>
      <c r="N43" s="661">
        <f>DATOS!O113</f>
        <v>0</v>
      </c>
      <c r="O43" s="661">
        <f>DATOS!P113</f>
        <v>0</v>
      </c>
      <c r="P43" s="661">
        <f>DATOS!Q113</f>
        <v>0</v>
      </c>
      <c r="Q43" s="661">
        <f>DATOS!R113</f>
        <v>0</v>
      </c>
      <c r="R43" s="661">
        <f>DATOS!S113</f>
        <v>0</v>
      </c>
      <c r="S43" s="661">
        <f>DATOS!T113</f>
        <v>0</v>
      </c>
      <c r="T43" s="661">
        <f>DATOS!U113</f>
        <v>0</v>
      </c>
      <c r="U43" s="661">
        <f>DATOS!V113</f>
        <v>0</v>
      </c>
      <c r="V43" s="661">
        <f>DATOS!W113</f>
        <v>0</v>
      </c>
      <c r="W43" s="661">
        <f>DATOS!X113</f>
        <v>0</v>
      </c>
      <c r="X43" s="661">
        <f>DATOS!Y113</f>
        <v>0</v>
      </c>
      <c r="Y43" s="661">
        <f>DATOS!Z113</f>
        <v>0</v>
      </c>
      <c r="Z43" s="662">
        <f t="shared" si="0"/>
        <v>0</v>
      </c>
      <c r="AA43" s="662">
        <f t="shared" si="1"/>
        <v>0</v>
      </c>
    </row>
    <row r="44" spans="1:27" x14ac:dyDescent="0.2">
      <c r="A44" s="169" t="s">
        <v>423</v>
      </c>
      <c r="B44" s="661">
        <f>DATOS!C114</f>
        <v>0</v>
      </c>
      <c r="C44" s="661">
        <f>DATOS!D114</f>
        <v>0</v>
      </c>
      <c r="D44" s="661">
        <f>DATOS!E114</f>
        <v>0</v>
      </c>
      <c r="E44" s="661">
        <f>DATOS!F114</f>
        <v>0</v>
      </c>
      <c r="F44" s="661">
        <f>DATOS!G114</f>
        <v>0</v>
      </c>
      <c r="G44" s="661">
        <f>DATOS!H114</f>
        <v>0</v>
      </c>
      <c r="H44" s="661">
        <f>DATOS!I114</f>
        <v>0</v>
      </c>
      <c r="I44" s="661">
        <f>DATOS!J114</f>
        <v>0</v>
      </c>
      <c r="J44" s="661">
        <f>DATOS!K114</f>
        <v>0</v>
      </c>
      <c r="K44" s="661">
        <f>DATOS!L114</f>
        <v>0</v>
      </c>
      <c r="L44" s="661">
        <f>DATOS!M114</f>
        <v>0</v>
      </c>
      <c r="M44" s="661">
        <f>DATOS!N114</f>
        <v>0</v>
      </c>
      <c r="N44" s="661">
        <f>DATOS!O114</f>
        <v>0</v>
      </c>
      <c r="O44" s="661">
        <f>DATOS!P114</f>
        <v>0</v>
      </c>
      <c r="P44" s="661">
        <f>DATOS!Q114</f>
        <v>0</v>
      </c>
      <c r="Q44" s="661">
        <f>DATOS!R114</f>
        <v>0</v>
      </c>
      <c r="R44" s="661">
        <f>DATOS!S114</f>
        <v>0</v>
      </c>
      <c r="S44" s="661">
        <f>DATOS!T114</f>
        <v>0</v>
      </c>
      <c r="T44" s="661">
        <f>DATOS!U114</f>
        <v>0</v>
      </c>
      <c r="U44" s="661">
        <f>DATOS!V114</f>
        <v>0</v>
      </c>
      <c r="V44" s="661">
        <f>DATOS!W114</f>
        <v>0</v>
      </c>
      <c r="W44" s="661">
        <f>DATOS!X114</f>
        <v>0</v>
      </c>
      <c r="X44" s="661">
        <f>DATOS!Y114</f>
        <v>0</v>
      </c>
      <c r="Y44" s="661">
        <f>DATOS!Z114</f>
        <v>0</v>
      </c>
      <c r="Z44" s="662">
        <f t="shared" si="0"/>
        <v>0</v>
      </c>
      <c r="AA44" s="662">
        <f t="shared" si="1"/>
        <v>0</v>
      </c>
    </row>
    <row r="45" spans="1:27" x14ac:dyDescent="0.2">
      <c r="A45" s="169" t="s">
        <v>643</v>
      </c>
      <c r="B45" s="661">
        <f>DATOS!C115</f>
        <v>8127.55</v>
      </c>
      <c r="C45" s="661">
        <f>DATOS!D115</f>
        <v>0</v>
      </c>
      <c r="D45" s="661">
        <f>DATOS!E115</f>
        <v>9859.23</v>
      </c>
      <c r="E45" s="661">
        <f>DATOS!F115</f>
        <v>0</v>
      </c>
      <c r="F45" s="661">
        <f>DATOS!G115</f>
        <v>9376.94</v>
      </c>
      <c r="G45" s="661">
        <f>DATOS!H115</f>
        <v>0</v>
      </c>
      <c r="H45" s="661">
        <f>DATOS!I115</f>
        <v>10687.02</v>
      </c>
      <c r="I45" s="661">
        <f>DATOS!J115</f>
        <v>0</v>
      </c>
      <c r="J45" s="661">
        <f>DATOS!K115</f>
        <v>12932.21</v>
      </c>
      <c r="K45" s="661">
        <f>DATOS!L115</f>
        <v>0</v>
      </c>
      <c r="L45" s="661">
        <f>DATOS!M115</f>
        <v>13919.91</v>
      </c>
      <c r="M45" s="661">
        <f>DATOS!N115</f>
        <v>0</v>
      </c>
      <c r="N45" s="661">
        <f>DATOS!O115</f>
        <v>9086.9599999999991</v>
      </c>
      <c r="O45" s="661">
        <f>DATOS!P115</f>
        <v>0</v>
      </c>
      <c r="P45" s="661">
        <f>DATOS!Q115</f>
        <v>606.55999999999995</v>
      </c>
      <c r="Q45" s="661">
        <f>DATOS!R115</f>
        <v>0</v>
      </c>
      <c r="R45" s="661">
        <f>DATOS!S115</f>
        <v>13532.46</v>
      </c>
      <c r="S45" s="661">
        <f>DATOS!T115</f>
        <v>0</v>
      </c>
      <c r="T45" s="661">
        <f>DATOS!U115</f>
        <v>8370.23</v>
      </c>
      <c r="U45" s="661">
        <f>DATOS!V115</f>
        <v>0</v>
      </c>
      <c r="V45" s="661">
        <f>DATOS!W115</f>
        <v>6121.39</v>
      </c>
      <c r="W45" s="661">
        <f>DATOS!X115</f>
        <v>0</v>
      </c>
      <c r="X45" s="661">
        <f>DATOS!Y115</f>
        <v>7112.92</v>
      </c>
      <c r="Y45" s="661">
        <f>DATOS!Z115</f>
        <v>0</v>
      </c>
      <c r="Z45" s="662">
        <f t="shared" si="0"/>
        <v>109733.37999999999</v>
      </c>
      <c r="AA45" s="662">
        <f t="shared" si="1"/>
        <v>0</v>
      </c>
    </row>
    <row r="46" spans="1:27" x14ac:dyDescent="0.2">
      <c r="A46" s="169" t="s">
        <v>644</v>
      </c>
      <c r="B46" s="661">
        <f>DATOS!C116</f>
        <v>0</v>
      </c>
      <c r="C46" s="661">
        <f>DATOS!D116</f>
        <v>0</v>
      </c>
      <c r="D46" s="661">
        <f>DATOS!E116</f>
        <v>0</v>
      </c>
      <c r="E46" s="661">
        <f>DATOS!F116</f>
        <v>0</v>
      </c>
      <c r="F46" s="661">
        <f>DATOS!G116</f>
        <v>0</v>
      </c>
      <c r="G46" s="661">
        <f>DATOS!H116</f>
        <v>0</v>
      </c>
      <c r="H46" s="661">
        <f>DATOS!I116</f>
        <v>0</v>
      </c>
      <c r="I46" s="661">
        <f>DATOS!J116</f>
        <v>0</v>
      </c>
      <c r="J46" s="661">
        <f>DATOS!K116</f>
        <v>0</v>
      </c>
      <c r="K46" s="661">
        <f>DATOS!L116</f>
        <v>0</v>
      </c>
      <c r="L46" s="661">
        <f>DATOS!M116</f>
        <v>0</v>
      </c>
      <c r="M46" s="661">
        <f>DATOS!N116</f>
        <v>0</v>
      </c>
      <c r="N46" s="661">
        <f>DATOS!O116</f>
        <v>0</v>
      </c>
      <c r="O46" s="661">
        <f>DATOS!P116</f>
        <v>0</v>
      </c>
      <c r="P46" s="661">
        <f>DATOS!Q116</f>
        <v>0</v>
      </c>
      <c r="Q46" s="661">
        <f>DATOS!R116</f>
        <v>0</v>
      </c>
      <c r="R46" s="661">
        <f>DATOS!S116</f>
        <v>0</v>
      </c>
      <c r="S46" s="661">
        <f>DATOS!T116</f>
        <v>0</v>
      </c>
      <c r="T46" s="661">
        <f>DATOS!U116</f>
        <v>0</v>
      </c>
      <c r="U46" s="661">
        <f>DATOS!V116</f>
        <v>0</v>
      </c>
      <c r="V46" s="661">
        <f>DATOS!W116</f>
        <v>0</v>
      </c>
      <c r="W46" s="661">
        <f>DATOS!X116</f>
        <v>0</v>
      </c>
      <c r="X46" s="661">
        <f>DATOS!Y116</f>
        <v>0</v>
      </c>
      <c r="Y46" s="661">
        <f>DATOS!Z116</f>
        <v>0</v>
      </c>
      <c r="Z46" s="662">
        <f t="shared" si="0"/>
        <v>0</v>
      </c>
      <c r="AA46" s="662">
        <f t="shared" si="1"/>
        <v>0</v>
      </c>
    </row>
    <row r="47" spans="1:27" x14ac:dyDescent="0.2">
      <c r="A47" s="169" t="s">
        <v>645</v>
      </c>
      <c r="B47" s="661">
        <f>DATOS!C117</f>
        <v>0</v>
      </c>
      <c r="C47" s="661">
        <f>DATOS!D117</f>
        <v>0</v>
      </c>
      <c r="D47" s="661">
        <f>DATOS!E117</f>
        <v>0</v>
      </c>
      <c r="E47" s="661">
        <f>DATOS!F117</f>
        <v>0</v>
      </c>
      <c r="F47" s="661">
        <f>DATOS!G117</f>
        <v>0</v>
      </c>
      <c r="G47" s="661">
        <f>DATOS!H117</f>
        <v>0</v>
      </c>
      <c r="H47" s="661">
        <f>DATOS!I117</f>
        <v>0</v>
      </c>
      <c r="I47" s="661">
        <f>DATOS!J117</f>
        <v>0</v>
      </c>
      <c r="J47" s="661">
        <f>DATOS!K117</f>
        <v>0</v>
      </c>
      <c r="K47" s="661">
        <f>DATOS!L117</f>
        <v>0</v>
      </c>
      <c r="L47" s="661">
        <f>DATOS!M117</f>
        <v>0</v>
      </c>
      <c r="M47" s="661">
        <f>DATOS!N117</f>
        <v>0</v>
      </c>
      <c r="N47" s="661">
        <f>DATOS!O117</f>
        <v>0</v>
      </c>
      <c r="O47" s="661">
        <f>DATOS!P117</f>
        <v>0</v>
      </c>
      <c r="P47" s="661">
        <f>DATOS!Q117</f>
        <v>0</v>
      </c>
      <c r="Q47" s="661">
        <f>DATOS!R117</f>
        <v>0</v>
      </c>
      <c r="R47" s="661">
        <f>DATOS!S117</f>
        <v>0</v>
      </c>
      <c r="S47" s="661">
        <f>DATOS!T117</f>
        <v>0</v>
      </c>
      <c r="T47" s="661">
        <f>DATOS!U117</f>
        <v>0</v>
      </c>
      <c r="U47" s="661">
        <f>DATOS!V117</f>
        <v>0</v>
      </c>
      <c r="V47" s="661">
        <f>DATOS!W117</f>
        <v>0</v>
      </c>
      <c r="W47" s="661">
        <f>DATOS!X117</f>
        <v>0</v>
      </c>
      <c r="X47" s="661">
        <f>DATOS!Y117</f>
        <v>0</v>
      </c>
      <c r="Y47" s="661">
        <f>DATOS!Z117</f>
        <v>0</v>
      </c>
      <c r="Z47" s="662">
        <f t="shared" si="0"/>
        <v>0</v>
      </c>
      <c r="AA47" s="662">
        <f t="shared" si="1"/>
        <v>0</v>
      </c>
    </row>
    <row r="48" spans="1:27" ht="13.5" thickBot="1" x14ac:dyDescent="0.25">
      <c r="A48" s="168" t="s">
        <v>646</v>
      </c>
      <c r="B48" s="661">
        <f>DATOS!C118</f>
        <v>0</v>
      </c>
      <c r="C48" s="661">
        <f>DATOS!D118</f>
        <v>0</v>
      </c>
      <c r="D48" s="661">
        <f>DATOS!E118</f>
        <v>0</v>
      </c>
      <c r="E48" s="661">
        <f>DATOS!F118</f>
        <v>0</v>
      </c>
      <c r="F48" s="661">
        <f>DATOS!G118</f>
        <v>0</v>
      </c>
      <c r="G48" s="661">
        <f>DATOS!H118</f>
        <v>0</v>
      </c>
      <c r="H48" s="661">
        <f>DATOS!I118</f>
        <v>0</v>
      </c>
      <c r="I48" s="661">
        <f>DATOS!J118</f>
        <v>0</v>
      </c>
      <c r="J48" s="661">
        <f>DATOS!K118</f>
        <v>0</v>
      </c>
      <c r="K48" s="661">
        <f>DATOS!L118</f>
        <v>0</v>
      </c>
      <c r="L48" s="661">
        <f>DATOS!M118</f>
        <v>0</v>
      </c>
      <c r="M48" s="661">
        <f>DATOS!N118</f>
        <v>0</v>
      </c>
      <c r="N48" s="661">
        <f>DATOS!O118</f>
        <v>0</v>
      </c>
      <c r="O48" s="661">
        <f>DATOS!P118</f>
        <v>0</v>
      </c>
      <c r="P48" s="661">
        <f>DATOS!Q118</f>
        <v>0</v>
      </c>
      <c r="Q48" s="661">
        <f>DATOS!R118</f>
        <v>0</v>
      </c>
      <c r="R48" s="661">
        <f>DATOS!S118</f>
        <v>0</v>
      </c>
      <c r="S48" s="661">
        <f>DATOS!T118</f>
        <v>0</v>
      </c>
      <c r="T48" s="661">
        <f>DATOS!U118</f>
        <v>0</v>
      </c>
      <c r="U48" s="661">
        <f>DATOS!V118</f>
        <v>0</v>
      </c>
      <c r="V48" s="661">
        <f>DATOS!W118</f>
        <v>0</v>
      </c>
      <c r="W48" s="661">
        <f>DATOS!X118</f>
        <v>0</v>
      </c>
      <c r="X48" s="661">
        <f>DATOS!Y118</f>
        <v>0</v>
      </c>
      <c r="Y48" s="661">
        <f>DATOS!Z118</f>
        <v>0</v>
      </c>
      <c r="Z48" s="662">
        <f t="shared" si="0"/>
        <v>0</v>
      </c>
      <c r="AA48" s="662">
        <f t="shared" si="1"/>
        <v>0</v>
      </c>
    </row>
    <row r="49" spans="1:27" ht="13.5" thickBot="1" x14ac:dyDescent="0.25">
      <c r="A49" s="546" t="s">
        <v>647</v>
      </c>
      <c r="B49" s="661">
        <f>DATOS!C119</f>
        <v>0</v>
      </c>
      <c r="C49" s="661">
        <f>DATOS!D119</f>
        <v>0</v>
      </c>
      <c r="D49" s="661">
        <f>DATOS!E119</f>
        <v>0</v>
      </c>
      <c r="E49" s="661">
        <f>DATOS!F119</f>
        <v>0</v>
      </c>
      <c r="F49" s="661">
        <f>DATOS!G119</f>
        <v>0</v>
      </c>
      <c r="G49" s="661">
        <f>DATOS!H119</f>
        <v>0</v>
      </c>
      <c r="H49" s="661">
        <f>DATOS!I119</f>
        <v>0</v>
      </c>
      <c r="I49" s="661">
        <f>DATOS!J119</f>
        <v>0</v>
      </c>
      <c r="J49" s="661">
        <f>DATOS!K119</f>
        <v>0</v>
      </c>
      <c r="K49" s="661">
        <f>DATOS!L119</f>
        <v>0</v>
      </c>
      <c r="L49" s="661">
        <f>DATOS!M119</f>
        <v>0</v>
      </c>
      <c r="M49" s="661">
        <f>DATOS!N119</f>
        <v>0</v>
      </c>
      <c r="N49" s="661">
        <f>DATOS!O119</f>
        <v>0</v>
      </c>
      <c r="O49" s="661">
        <f>DATOS!P119</f>
        <v>0</v>
      </c>
      <c r="P49" s="661">
        <f>DATOS!Q119</f>
        <v>0</v>
      </c>
      <c r="Q49" s="661">
        <f>DATOS!R119</f>
        <v>0</v>
      </c>
      <c r="R49" s="661">
        <f>DATOS!S119</f>
        <v>0</v>
      </c>
      <c r="S49" s="661">
        <f>DATOS!T119</f>
        <v>0</v>
      </c>
      <c r="T49" s="661">
        <f>DATOS!U119</f>
        <v>0</v>
      </c>
      <c r="U49" s="661">
        <f>DATOS!V119</f>
        <v>0</v>
      </c>
      <c r="V49" s="661">
        <f>DATOS!W119</f>
        <v>0</v>
      </c>
      <c r="W49" s="661">
        <f>DATOS!X119</f>
        <v>0</v>
      </c>
      <c r="X49" s="661">
        <f>DATOS!Y119</f>
        <v>0</v>
      </c>
      <c r="Y49" s="661">
        <f>DATOS!Z119</f>
        <v>0</v>
      </c>
      <c r="Z49" s="662">
        <f t="shared" si="0"/>
        <v>0</v>
      </c>
      <c r="AA49" s="662">
        <f t="shared" si="1"/>
        <v>0</v>
      </c>
    </row>
    <row r="50" spans="1:27" ht="13.5" thickBot="1" x14ac:dyDescent="0.25">
      <c r="A50" s="546" t="s">
        <v>648</v>
      </c>
      <c r="B50" s="661">
        <f>DATOS!C120</f>
        <v>0</v>
      </c>
      <c r="C50" s="661">
        <f>DATOS!D120</f>
        <v>0</v>
      </c>
      <c r="D50" s="661">
        <f>DATOS!E120</f>
        <v>0</v>
      </c>
      <c r="E50" s="661">
        <f>DATOS!F120</f>
        <v>0</v>
      </c>
      <c r="F50" s="661">
        <f>DATOS!G120</f>
        <v>0</v>
      </c>
      <c r="G50" s="661">
        <f>DATOS!H120</f>
        <v>0</v>
      </c>
      <c r="H50" s="661">
        <f>DATOS!I120</f>
        <v>0</v>
      </c>
      <c r="I50" s="661">
        <f>DATOS!J120</f>
        <v>0</v>
      </c>
      <c r="J50" s="661">
        <f>DATOS!K120</f>
        <v>0</v>
      </c>
      <c r="K50" s="661">
        <f>DATOS!L120</f>
        <v>0</v>
      </c>
      <c r="L50" s="661">
        <f>DATOS!M120</f>
        <v>0</v>
      </c>
      <c r="M50" s="661">
        <f>DATOS!N120</f>
        <v>0</v>
      </c>
      <c r="N50" s="661">
        <f>DATOS!O120</f>
        <v>0</v>
      </c>
      <c r="O50" s="661">
        <f>DATOS!P120</f>
        <v>0</v>
      </c>
      <c r="P50" s="661">
        <f>DATOS!Q120</f>
        <v>0</v>
      </c>
      <c r="Q50" s="661">
        <f>DATOS!R120</f>
        <v>0</v>
      </c>
      <c r="R50" s="661">
        <f>DATOS!S120</f>
        <v>0</v>
      </c>
      <c r="S50" s="661">
        <f>DATOS!T120</f>
        <v>0</v>
      </c>
      <c r="T50" s="661">
        <f>DATOS!U120</f>
        <v>0</v>
      </c>
      <c r="U50" s="661">
        <f>DATOS!V120</f>
        <v>0</v>
      </c>
      <c r="V50" s="661">
        <f>DATOS!W120</f>
        <v>0</v>
      </c>
      <c r="W50" s="661">
        <f>DATOS!X120</f>
        <v>0</v>
      </c>
      <c r="X50" s="661">
        <f>DATOS!Y120</f>
        <v>0</v>
      </c>
      <c r="Y50" s="661">
        <f>DATOS!Z120</f>
        <v>0</v>
      </c>
      <c r="Z50" s="662">
        <f t="shared" si="0"/>
        <v>0</v>
      </c>
      <c r="AA50" s="662">
        <f t="shared" si="1"/>
        <v>0</v>
      </c>
    </row>
    <row r="51" spans="1:27" ht="13.5" thickBot="1" x14ac:dyDescent="0.25">
      <c r="A51" s="546" t="s">
        <v>649</v>
      </c>
      <c r="B51" s="661">
        <f>DATOS!C121</f>
        <v>670</v>
      </c>
      <c r="C51" s="661">
        <f>DATOS!D121</f>
        <v>0</v>
      </c>
      <c r="D51" s="661">
        <f>DATOS!E121</f>
        <v>3868.96</v>
      </c>
      <c r="E51" s="661">
        <f>DATOS!F121</f>
        <v>0</v>
      </c>
      <c r="F51" s="661">
        <f>DATOS!G121</f>
        <v>0</v>
      </c>
      <c r="G51" s="661">
        <f>DATOS!H121</f>
        <v>0</v>
      </c>
      <c r="H51" s="661">
        <f>DATOS!I121</f>
        <v>1934.48</v>
      </c>
      <c r="I51" s="661">
        <f>DATOS!J121</f>
        <v>0</v>
      </c>
      <c r="J51" s="661">
        <f>DATOS!K121</f>
        <v>0</v>
      </c>
      <c r="K51" s="661">
        <f>DATOS!L121</f>
        <v>0</v>
      </c>
      <c r="L51" s="661">
        <f>DATOS!M121</f>
        <v>0</v>
      </c>
      <c r="M51" s="661">
        <f>DATOS!N121</f>
        <v>0</v>
      </c>
      <c r="N51" s="661">
        <f>DATOS!O121</f>
        <v>0</v>
      </c>
      <c r="O51" s="661">
        <f>DATOS!P121</f>
        <v>0</v>
      </c>
      <c r="P51" s="661">
        <f>DATOS!Q121</f>
        <v>0</v>
      </c>
      <c r="Q51" s="661">
        <f>DATOS!R121</f>
        <v>0</v>
      </c>
      <c r="R51" s="661">
        <f>DATOS!S121</f>
        <v>0</v>
      </c>
      <c r="S51" s="661">
        <f>DATOS!T121</f>
        <v>0</v>
      </c>
      <c r="T51" s="661">
        <f>DATOS!U121</f>
        <v>0</v>
      </c>
      <c r="U51" s="661">
        <f>DATOS!V121</f>
        <v>0</v>
      </c>
      <c r="V51" s="661">
        <f>DATOS!W121</f>
        <v>0</v>
      </c>
      <c r="W51" s="661">
        <f>DATOS!X121</f>
        <v>0</v>
      </c>
      <c r="X51" s="661">
        <f>DATOS!Y121</f>
        <v>0</v>
      </c>
      <c r="Y51" s="661">
        <f>DATOS!Z121</f>
        <v>0</v>
      </c>
      <c r="Z51" s="662">
        <f t="shared" si="0"/>
        <v>6473.4400000000005</v>
      </c>
      <c r="AA51" s="662">
        <f t="shared" si="1"/>
        <v>0</v>
      </c>
    </row>
    <row r="52" spans="1:27" ht="13.5" thickBot="1" x14ac:dyDescent="0.25">
      <c r="A52" s="546" t="s">
        <v>755</v>
      </c>
      <c r="B52" s="661">
        <f>DATOS!C122</f>
        <v>0</v>
      </c>
      <c r="C52" s="661">
        <f>DATOS!D122</f>
        <v>0</v>
      </c>
      <c r="D52" s="661">
        <f>DATOS!E122</f>
        <v>1288.49</v>
      </c>
      <c r="E52" s="661">
        <f>DATOS!F122</f>
        <v>0</v>
      </c>
      <c r="F52" s="661">
        <f>DATOS!G122</f>
        <v>0</v>
      </c>
      <c r="G52" s="661">
        <f>DATOS!H122</f>
        <v>0</v>
      </c>
      <c r="H52" s="661">
        <f>DATOS!I122</f>
        <v>504.81</v>
      </c>
      <c r="I52" s="661">
        <f>DATOS!J122</f>
        <v>0</v>
      </c>
      <c r="J52" s="661">
        <f>DATOS!K122</f>
        <v>227.52</v>
      </c>
      <c r="K52" s="661">
        <f>DATOS!L122</f>
        <v>0</v>
      </c>
      <c r="L52" s="661">
        <f>DATOS!M122</f>
        <v>732.33</v>
      </c>
      <c r="M52" s="661">
        <f>DATOS!N122</f>
        <v>0</v>
      </c>
      <c r="N52" s="661">
        <f>DATOS!O122</f>
        <v>231.47</v>
      </c>
      <c r="O52" s="661">
        <f>DATOS!P122</f>
        <v>0</v>
      </c>
      <c r="P52" s="661">
        <f>DATOS!Q122</f>
        <v>0</v>
      </c>
      <c r="Q52" s="661">
        <f>DATOS!R122</f>
        <v>0</v>
      </c>
      <c r="R52" s="661">
        <f>DATOS!S122</f>
        <v>107.44</v>
      </c>
      <c r="S52" s="661">
        <f>DATOS!T122</f>
        <v>0</v>
      </c>
      <c r="T52" s="661">
        <f>DATOS!U122</f>
        <v>0</v>
      </c>
      <c r="U52" s="661">
        <f>DATOS!V122</f>
        <v>0</v>
      </c>
      <c r="V52" s="661">
        <f>DATOS!W122</f>
        <v>0</v>
      </c>
      <c r="W52" s="661">
        <f>DATOS!X122</f>
        <v>0</v>
      </c>
      <c r="X52" s="661">
        <f>DATOS!Y122</f>
        <v>0</v>
      </c>
      <c r="Y52" s="661">
        <f>DATOS!Z122</f>
        <v>0</v>
      </c>
      <c r="Z52" s="662">
        <f t="shared" si="0"/>
        <v>3092.06</v>
      </c>
      <c r="AA52" s="662">
        <f t="shared" si="1"/>
        <v>0</v>
      </c>
    </row>
    <row r="53" spans="1:27" ht="13.5" thickBot="1" x14ac:dyDescent="0.25">
      <c r="A53" s="546" t="s">
        <v>673</v>
      </c>
      <c r="B53" s="661">
        <f>DATOS!C123</f>
        <v>1208.81</v>
      </c>
      <c r="C53" s="661">
        <f>DATOS!D123</f>
        <v>0</v>
      </c>
      <c r="D53" s="661">
        <f>DATOS!E123</f>
        <v>294.60000000000002</v>
      </c>
      <c r="E53" s="661">
        <f>DATOS!F123</f>
        <v>0</v>
      </c>
      <c r="F53" s="661">
        <f>DATOS!G123</f>
        <v>70.67</v>
      </c>
      <c r="G53" s="661">
        <f>DATOS!H123</f>
        <v>0</v>
      </c>
      <c r="H53" s="661">
        <f>DATOS!I123</f>
        <v>356.04</v>
      </c>
      <c r="I53" s="661">
        <f>DATOS!J123</f>
        <v>0</v>
      </c>
      <c r="J53" s="661">
        <f>DATOS!K123</f>
        <v>391.83</v>
      </c>
      <c r="K53" s="661">
        <f>DATOS!L123</f>
        <v>0</v>
      </c>
      <c r="L53" s="661">
        <f>DATOS!M123</f>
        <v>0</v>
      </c>
      <c r="M53" s="661">
        <f>DATOS!N123</f>
        <v>0</v>
      </c>
      <c r="N53" s="661">
        <f>DATOS!O123</f>
        <v>0</v>
      </c>
      <c r="O53" s="661">
        <f>DATOS!P123</f>
        <v>0</v>
      </c>
      <c r="P53" s="661">
        <f>DATOS!Q123</f>
        <v>468.8</v>
      </c>
      <c r="Q53" s="661">
        <f>DATOS!R123</f>
        <v>0</v>
      </c>
      <c r="R53" s="661">
        <f>DATOS!S123</f>
        <v>959.49</v>
      </c>
      <c r="S53" s="661">
        <f>DATOS!T123</f>
        <v>0</v>
      </c>
      <c r="T53" s="661">
        <f>DATOS!U123</f>
        <v>0</v>
      </c>
      <c r="U53" s="661">
        <f>DATOS!V123</f>
        <v>0</v>
      </c>
      <c r="V53" s="661">
        <f>DATOS!W123</f>
        <v>835.18</v>
      </c>
      <c r="W53" s="661">
        <f>DATOS!X123</f>
        <v>0</v>
      </c>
      <c r="X53" s="661">
        <f>DATOS!Y123</f>
        <v>7.8</v>
      </c>
      <c r="Y53" s="661">
        <f>DATOS!Z123</f>
        <v>0</v>
      </c>
      <c r="Z53" s="662">
        <f t="shared" si="0"/>
        <v>4593.22</v>
      </c>
      <c r="AA53" s="662">
        <f t="shared" si="1"/>
        <v>0</v>
      </c>
    </row>
    <row r="54" spans="1:27" ht="13.5" thickBot="1" x14ac:dyDescent="0.25">
      <c r="A54" s="546" t="s">
        <v>756</v>
      </c>
      <c r="B54" s="661">
        <f>DATOS!C124</f>
        <v>0</v>
      </c>
      <c r="C54" s="661">
        <f>DATOS!D124</f>
        <v>0</v>
      </c>
      <c r="D54" s="661">
        <f>DATOS!E124</f>
        <v>0</v>
      </c>
      <c r="E54" s="661">
        <f>DATOS!F124</f>
        <v>0</v>
      </c>
      <c r="F54" s="661">
        <f>DATOS!G124</f>
        <v>0</v>
      </c>
      <c r="G54" s="661">
        <f>DATOS!H124</f>
        <v>0</v>
      </c>
      <c r="H54" s="661">
        <f>DATOS!I124</f>
        <v>0</v>
      </c>
      <c r="I54" s="661">
        <f>DATOS!J124</f>
        <v>0</v>
      </c>
      <c r="J54" s="661">
        <f>DATOS!K124</f>
        <v>0</v>
      </c>
      <c r="K54" s="661">
        <f>DATOS!L124</f>
        <v>0</v>
      </c>
      <c r="L54" s="661">
        <f>DATOS!M124</f>
        <v>0</v>
      </c>
      <c r="M54" s="661">
        <f>DATOS!N124</f>
        <v>0</v>
      </c>
      <c r="N54" s="661">
        <f>DATOS!O124</f>
        <v>2516.16</v>
      </c>
      <c r="O54" s="661">
        <f>DATOS!P124</f>
        <v>0</v>
      </c>
      <c r="P54" s="661">
        <f>DATOS!Q124</f>
        <v>0</v>
      </c>
      <c r="Q54" s="661">
        <f>DATOS!R124</f>
        <v>0</v>
      </c>
      <c r="R54" s="661">
        <f>DATOS!S124</f>
        <v>2966.4</v>
      </c>
      <c r="S54" s="661">
        <f>DATOS!T124</f>
        <v>0</v>
      </c>
      <c r="T54" s="661">
        <f>DATOS!U124</f>
        <v>0</v>
      </c>
      <c r="U54" s="661">
        <f>DATOS!V124</f>
        <v>0</v>
      </c>
      <c r="V54" s="661">
        <f>DATOS!W124</f>
        <v>0</v>
      </c>
      <c r="W54" s="661">
        <f>DATOS!X124</f>
        <v>0</v>
      </c>
      <c r="X54" s="661">
        <f>DATOS!Y124</f>
        <v>0</v>
      </c>
      <c r="Y54" s="661">
        <f>DATOS!Z124</f>
        <v>0</v>
      </c>
      <c r="Z54" s="662">
        <f t="shared" si="0"/>
        <v>5482.5599999999995</v>
      </c>
      <c r="AA54" s="662">
        <f t="shared" si="1"/>
        <v>0</v>
      </c>
    </row>
    <row r="55" spans="1:27" ht="13.5" thickBot="1" x14ac:dyDescent="0.25">
      <c r="A55" s="546" t="s">
        <v>674</v>
      </c>
      <c r="B55" s="661">
        <f>DATOS!C125</f>
        <v>1607.51</v>
      </c>
      <c r="C55" s="661">
        <f>DATOS!D125</f>
        <v>0</v>
      </c>
      <c r="D55" s="661">
        <f>DATOS!E125</f>
        <v>0</v>
      </c>
      <c r="E55" s="661">
        <f>DATOS!F125</f>
        <v>0</v>
      </c>
      <c r="F55" s="661">
        <f>DATOS!G125</f>
        <v>3743.19</v>
      </c>
      <c r="G55" s="661">
        <f>DATOS!H125</f>
        <v>0</v>
      </c>
      <c r="H55" s="661">
        <f>DATOS!I125</f>
        <v>1666.12</v>
      </c>
      <c r="I55" s="661">
        <f>DATOS!J125</f>
        <v>0</v>
      </c>
      <c r="J55" s="661">
        <f>DATOS!K125</f>
        <v>1618.8</v>
      </c>
      <c r="K55" s="661">
        <f>DATOS!L125</f>
        <v>0</v>
      </c>
      <c r="L55" s="661">
        <f>DATOS!M125</f>
        <v>0</v>
      </c>
      <c r="M55" s="661">
        <f>DATOS!N125</f>
        <v>0</v>
      </c>
      <c r="N55" s="661">
        <f>DATOS!O125</f>
        <v>4048.43</v>
      </c>
      <c r="O55" s="661">
        <f>DATOS!P125</f>
        <v>0</v>
      </c>
      <c r="P55" s="661">
        <f>DATOS!Q125</f>
        <v>0</v>
      </c>
      <c r="Q55" s="661">
        <f>DATOS!R125</f>
        <v>0</v>
      </c>
      <c r="R55" s="661">
        <f>DATOS!S125</f>
        <v>247.02</v>
      </c>
      <c r="S55" s="661">
        <f>DATOS!T125</f>
        <v>0</v>
      </c>
      <c r="T55" s="661">
        <f>DATOS!U125</f>
        <v>0</v>
      </c>
      <c r="U55" s="661">
        <f>DATOS!V125</f>
        <v>0</v>
      </c>
      <c r="V55" s="661">
        <f>DATOS!W125</f>
        <v>362.35</v>
      </c>
      <c r="W55" s="661">
        <f>DATOS!X125</f>
        <v>0</v>
      </c>
      <c r="X55" s="661">
        <f>DATOS!Y125</f>
        <v>866.69</v>
      </c>
      <c r="Y55" s="661">
        <f>DATOS!Z125</f>
        <v>0</v>
      </c>
      <c r="Z55" s="662">
        <f t="shared" si="0"/>
        <v>14160.11</v>
      </c>
      <c r="AA55" s="662">
        <f t="shared" si="1"/>
        <v>0</v>
      </c>
    </row>
    <row r="56" spans="1:27" ht="13.5" thickBot="1" x14ac:dyDescent="0.25">
      <c r="A56" s="546" t="s">
        <v>757</v>
      </c>
      <c r="B56" s="661">
        <f>DATOS!C127</f>
        <v>409.2</v>
      </c>
      <c r="C56" s="661">
        <f>DATOS!D127</f>
        <v>0</v>
      </c>
      <c r="D56" s="661">
        <f>DATOS!E127</f>
        <v>0</v>
      </c>
      <c r="E56" s="661">
        <f>DATOS!F127</f>
        <v>0</v>
      </c>
      <c r="F56" s="661">
        <f>DATOS!G127</f>
        <v>0</v>
      </c>
      <c r="G56" s="661">
        <f>DATOS!H127</f>
        <v>0</v>
      </c>
      <c r="H56" s="661">
        <f>DATOS!I127</f>
        <v>0</v>
      </c>
      <c r="I56" s="661">
        <f>DATOS!J127</f>
        <v>0</v>
      </c>
      <c r="J56" s="661">
        <f>DATOS!K127</f>
        <v>0</v>
      </c>
      <c r="K56" s="661">
        <f>DATOS!L127</f>
        <v>0</v>
      </c>
      <c r="L56" s="661">
        <f>DATOS!M127</f>
        <v>0</v>
      </c>
      <c r="M56" s="661">
        <f>DATOS!N127</f>
        <v>0</v>
      </c>
      <c r="N56" s="661">
        <f>DATOS!O127</f>
        <v>0</v>
      </c>
      <c r="O56" s="661">
        <f>DATOS!P127</f>
        <v>0</v>
      </c>
      <c r="P56" s="661">
        <f>DATOS!Q127</f>
        <v>0</v>
      </c>
      <c r="Q56" s="661">
        <f>DATOS!R127</f>
        <v>0</v>
      </c>
      <c r="R56" s="661">
        <f>DATOS!S127</f>
        <v>74.040000000000006</v>
      </c>
      <c r="S56" s="661">
        <f>DATOS!T127</f>
        <v>0</v>
      </c>
      <c r="T56" s="661">
        <f>DATOS!U127</f>
        <v>2.98</v>
      </c>
      <c r="U56" s="661">
        <f>DATOS!V127</f>
        <v>0</v>
      </c>
      <c r="V56" s="661">
        <f>DATOS!W127</f>
        <v>734.8</v>
      </c>
      <c r="W56" s="661">
        <f>DATOS!X127</f>
        <v>0</v>
      </c>
      <c r="X56" s="661">
        <f>DATOS!Y127</f>
        <v>99</v>
      </c>
      <c r="Y56" s="661">
        <f>DATOS!Z127</f>
        <v>0</v>
      </c>
      <c r="Z56" s="662">
        <f t="shared" si="0"/>
        <v>1320.02</v>
      </c>
      <c r="AA56" s="662">
        <f t="shared" si="1"/>
        <v>0</v>
      </c>
    </row>
    <row r="57" spans="1:27" ht="13.5" thickBot="1" x14ac:dyDescent="0.25">
      <c r="A57" s="546" t="s">
        <v>758</v>
      </c>
      <c r="B57" s="661">
        <f>DATOS!C128</f>
        <v>0</v>
      </c>
      <c r="C57" s="661">
        <f>DATOS!D128</f>
        <v>0</v>
      </c>
      <c r="D57" s="661">
        <f>DATOS!E128</f>
        <v>0</v>
      </c>
      <c r="E57" s="661">
        <f>DATOS!F128</f>
        <v>0</v>
      </c>
      <c r="F57" s="661">
        <f>DATOS!G128</f>
        <v>0</v>
      </c>
      <c r="G57" s="661">
        <f>DATOS!H128</f>
        <v>0</v>
      </c>
      <c r="H57" s="661">
        <f>DATOS!I128</f>
        <v>0</v>
      </c>
      <c r="I57" s="661">
        <f>DATOS!J128</f>
        <v>0</v>
      </c>
      <c r="J57" s="661">
        <f>DATOS!K128</f>
        <v>0</v>
      </c>
      <c r="K57" s="661">
        <f>DATOS!L128</f>
        <v>0</v>
      </c>
      <c r="L57" s="661">
        <f>DATOS!M128</f>
        <v>0</v>
      </c>
      <c r="M57" s="661">
        <f>DATOS!N128</f>
        <v>0</v>
      </c>
      <c r="N57" s="661">
        <f>DATOS!O128</f>
        <v>0</v>
      </c>
      <c r="O57" s="661">
        <f>DATOS!P128</f>
        <v>0</v>
      </c>
      <c r="P57" s="661">
        <f>DATOS!Q128</f>
        <v>0</v>
      </c>
      <c r="Q57" s="661">
        <f>DATOS!R128</f>
        <v>0</v>
      </c>
      <c r="R57" s="661">
        <f>DATOS!S128</f>
        <v>0</v>
      </c>
      <c r="S57" s="661">
        <f>DATOS!T128</f>
        <v>0</v>
      </c>
      <c r="T57" s="661">
        <f>DATOS!U128</f>
        <v>0</v>
      </c>
      <c r="U57" s="661">
        <f>DATOS!V128</f>
        <v>0</v>
      </c>
      <c r="V57" s="661">
        <f>DATOS!W128</f>
        <v>0</v>
      </c>
      <c r="W57" s="661">
        <f>DATOS!X128</f>
        <v>0</v>
      </c>
      <c r="X57" s="661">
        <f>DATOS!Y128</f>
        <v>0</v>
      </c>
      <c r="Y57" s="661">
        <f>DATOS!Z128</f>
        <v>0</v>
      </c>
      <c r="Z57" s="662">
        <f t="shared" si="0"/>
        <v>0</v>
      </c>
      <c r="AA57" s="662">
        <f t="shared" si="1"/>
        <v>0</v>
      </c>
    </row>
    <row r="58" spans="1:27" ht="13.5" thickBot="1" x14ac:dyDescent="0.25">
      <c r="A58" s="546" t="s">
        <v>759</v>
      </c>
      <c r="B58" s="661">
        <f>DATOS!C129</f>
        <v>56.45</v>
      </c>
      <c r="C58" s="661">
        <f>DATOS!D129</f>
        <v>0</v>
      </c>
      <c r="D58" s="661">
        <f>DATOS!E129</f>
        <v>65.2</v>
      </c>
      <c r="E58" s="661">
        <f>DATOS!F129</f>
        <v>0</v>
      </c>
      <c r="F58" s="661">
        <f>DATOS!G129</f>
        <v>57.7</v>
      </c>
      <c r="G58" s="661">
        <f>DATOS!H129</f>
        <v>0</v>
      </c>
      <c r="H58" s="661">
        <f>DATOS!I129</f>
        <v>161.26</v>
      </c>
      <c r="I58" s="661">
        <f>DATOS!J129</f>
        <v>0</v>
      </c>
      <c r="J58" s="661">
        <f>DATOS!K129</f>
        <v>153.46</v>
      </c>
      <c r="K58" s="661">
        <f>DATOS!L129</f>
        <v>0</v>
      </c>
      <c r="L58" s="661">
        <f>DATOS!M129</f>
        <v>252.18</v>
      </c>
      <c r="M58" s="661">
        <f>DATOS!N129</f>
        <v>0</v>
      </c>
      <c r="N58" s="661">
        <f>DATOS!O129</f>
        <v>136.12</v>
      </c>
      <c r="O58" s="661">
        <f>DATOS!P129</f>
        <v>0</v>
      </c>
      <c r="P58" s="661">
        <f>DATOS!Q129</f>
        <v>0</v>
      </c>
      <c r="Q58" s="661">
        <f>DATOS!R129</f>
        <v>0</v>
      </c>
      <c r="R58" s="661">
        <f>DATOS!S129</f>
        <v>86.2</v>
      </c>
      <c r="S58" s="661">
        <f>DATOS!T129</f>
        <v>0</v>
      </c>
      <c r="T58" s="661">
        <f>DATOS!U129</f>
        <v>22.4</v>
      </c>
      <c r="U58" s="661">
        <f>DATOS!V129</f>
        <v>0</v>
      </c>
      <c r="V58" s="661">
        <f>DATOS!W129</f>
        <v>19.8</v>
      </c>
      <c r="W58" s="661">
        <f>DATOS!X129</f>
        <v>0</v>
      </c>
      <c r="X58" s="661">
        <f>DATOS!Y129</f>
        <v>0</v>
      </c>
      <c r="Y58" s="661">
        <f>DATOS!Z129</f>
        <v>0</v>
      </c>
      <c r="Z58" s="662">
        <f t="shared" si="0"/>
        <v>1010.77</v>
      </c>
      <c r="AA58" s="662">
        <f t="shared" si="1"/>
        <v>0</v>
      </c>
    </row>
    <row r="59" spans="1:27" ht="13.5" thickBot="1" x14ac:dyDescent="0.25">
      <c r="A59" s="546" t="s">
        <v>760</v>
      </c>
      <c r="B59" s="661">
        <f>DATOS!C130</f>
        <v>115.83</v>
      </c>
      <c r="C59" s="661">
        <f>DATOS!D130</f>
        <v>0</v>
      </c>
      <c r="D59" s="661">
        <f>DATOS!E130</f>
        <v>311.39</v>
      </c>
      <c r="E59" s="661">
        <f>DATOS!F130</f>
        <v>0</v>
      </c>
      <c r="F59" s="661">
        <f>DATOS!G130</f>
        <v>0</v>
      </c>
      <c r="G59" s="661">
        <f>DATOS!H130</f>
        <v>0</v>
      </c>
      <c r="H59" s="661">
        <f>DATOS!I130</f>
        <v>1429.08</v>
      </c>
      <c r="I59" s="661">
        <f>DATOS!J130</f>
        <v>0</v>
      </c>
      <c r="J59" s="661">
        <f>DATOS!K130</f>
        <v>184.1</v>
      </c>
      <c r="K59" s="661">
        <f>DATOS!L130</f>
        <v>0</v>
      </c>
      <c r="L59" s="661">
        <f>DATOS!M130</f>
        <v>0</v>
      </c>
      <c r="M59" s="661">
        <f>DATOS!N130</f>
        <v>0</v>
      </c>
      <c r="N59" s="661">
        <f>DATOS!O130</f>
        <v>0</v>
      </c>
      <c r="O59" s="661">
        <f>DATOS!P130</f>
        <v>0</v>
      </c>
      <c r="P59" s="661">
        <f>DATOS!Q130</f>
        <v>0</v>
      </c>
      <c r="Q59" s="661">
        <f>DATOS!R130</f>
        <v>0</v>
      </c>
      <c r="R59" s="661">
        <f>DATOS!S130</f>
        <v>40.74</v>
      </c>
      <c r="S59" s="661">
        <f>DATOS!T130</f>
        <v>0</v>
      </c>
      <c r="T59" s="661">
        <f>DATOS!U130</f>
        <v>0</v>
      </c>
      <c r="U59" s="661">
        <f>DATOS!V130</f>
        <v>0</v>
      </c>
      <c r="V59" s="661">
        <f>DATOS!W130</f>
        <v>249.9</v>
      </c>
      <c r="W59" s="661">
        <f>DATOS!X130</f>
        <v>0</v>
      </c>
      <c r="X59" s="661">
        <f>DATOS!Y130</f>
        <v>0</v>
      </c>
      <c r="Y59" s="661">
        <f>DATOS!Z130</f>
        <v>0</v>
      </c>
      <c r="Z59" s="662">
        <f t="shared" si="0"/>
        <v>2331.04</v>
      </c>
      <c r="AA59" s="662">
        <f t="shared" si="1"/>
        <v>0</v>
      </c>
    </row>
    <row r="60" spans="1:27" ht="13.5" thickBot="1" x14ac:dyDescent="0.25">
      <c r="A60" s="546" t="s">
        <v>761</v>
      </c>
      <c r="B60" s="661">
        <f>DATOS!C131</f>
        <v>0</v>
      </c>
      <c r="C60" s="661">
        <f>DATOS!D131</f>
        <v>0</v>
      </c>
      <c r="D60" s="661">
        <f>DATOS!E131</f>
        <v>0</v>
      </c>
      <c r="E60" s="661">
        <f>DATOS!F131</f>
        <v>0</v>
      </c>
      <c r="F60" s="661">
        <f>DATOS!G131</f>
        <v>0</v>
      </c>
      <c r="G60" s="661">
        <f>DATOS!H131</f>
        <v>0</v>
      </c>
      <c r="H60" s="661">
        <f>DATOS!I131</f>
        <v>0</v>
      </c>
      <c r="I60" s="661">
        <f>DATOS!J131</f>
        <v>0</v>
      </c>
      <c r="J60" s="661">
        <f>DATOS!K131</f>
        <v>0</v>
      </c>
      <c r="K60" s="661">
        <f>DATOS!L131</f>
        <v>0</v>
      </c>
      <c r="L60" s="661">
        <f>DATOS!M131</f>
        <v>0</v>
      </c>
      <c r="M60" s="661">
        <f>DATOS!N131</f>
        <v>0</v>
      </c>
      <c r="N60" s="661">
        <f>DATOS!O131</f>
        <v>0</v>
      </c>
      <c r="O60" s="661">
        <f>DATOS!P131</f>
        <v>0</v>
      </c>
      <c r="P60" s="661">
        <f>DATOS!Q131</f>
        <v>0</v>
      </c>
      <c r="Q60" s="661">
        <f>DATOS!R131</f>
        <v>0</v>
      </c>
      <c r="R60" s="661">
        <f>DATOS!S131</f>
        <v>0</v>
      </c>
      <c r="S60" s="661">
        <f>DATOS!T131</f>
        <v>0</v>
      </c>
      <c r="T60" s="661">
        <f>DATOS!U131</f>
        <v>0</v>
      </c>
      <c r="U60" s="661">
        <f>DATOS!V131</f>
        <v>0</v>
      </c>
      <c r="V60" s="661">
        <f>DATOS!W131</f>
        <v>0</v>
      </c>
      <c r="W60" s="661">
        <f>DATOS!X131</f>
        <v>0</v>
      </c>
      <c r="X60" s="661">
        <f>DATOS!Y131</f>
        <v>0</v>
      </c>
      <c r="Y60" s="661">
        <f>DATOS!Z131</f>
        <v>0</v>
      </c>
      <c r="Z60" s="662">
        <f t="shared" si="0"/>
        <v>0</v>
      </c>
      <c r="AA60" s="662">
        <f t="shared" si="1"/>
        <v>0</v>
      </c>
    </row>
    <row r="61" spans="1:27" ht="13.5" thickBot="1" x14ac:dyDescent="0.25">
      <c r="A61" s="546" t="s">
        <v>762</v>
      </c>
      <c r="B61" s="661">
        <f>DATOS!C132</f>
        <v>0</v>
      </c>
      <c r="C61" s="661">
        <f>DATOS!D132</f>
        <v>0</v>
      </c>
      <c r="D61" s="661">
        <f>DATOS!E132</f>
        <v>0</v>
      </c>
      <c r="E61" s="661">
        <f>DATOS!F132</f>
        <v>0</v>
      </c>
      <c r="F61" s="661">
        <f>DATOS!G132</f>
        <v>0</v>
      </c>
      <c r="G61" s="661">
        <f>DATOS!H132</f>
        <v>0</v>
      </c>
      <c r="H61" s="661">
        <f>DATOS!I132</f>
        <v>0</v>
      </c>
      <c r="I61" s="661">
        <f>DATOS!J132</f>
        <v>0</v>
      </c>
      <c r="J61" s="661">
        <f>DATOS!K132</f>
        <v>0</v>
      </c>
      <c r="K61" s="661">
        <f>DATOS!L132</f>
        <v>0</v>
      </c>
      <c r="L61" s="661">
        <f>DATOS!M132</f>
        <v>0</v>
      </c>
      <c r="M61" s="661">
        <f>DATOS!N132</f>
        <v>0</v>
      </c>
      <c r="N61" s="661">
        <f>DATOS!O132</f>
        <v>0</v>
      </c>
      <c r="O61" s="661">
        <f>DATOS!P132</f>
        <v>0</v>
      </c>
      <c r="P61" s="661">
        <f>DATOS!Q132</f>
        <v>0</v>
      </c>
      <c r="Q61" s="661">
        <f>DATOS!R132</f>
        <v>0</v>
      </c>
      <c r="R61" s="661">
        <f>DATOS!S132</f>
        <v>0</v>
      </c>
      <c r="S61" s="661">
        <f>DATOS!T132</f>
        <v>0</v>
      </c>
      <c r="T61" s="661">
        <f>DATOS!U132</f>
        <v>0</v>
      </c>
      <c r="U61" s="661">
        <f>DATOS!V132</f>
        <v>0</v>
      </c>
      <c r="V61" s="661">
        <f>DATOS!W132</f>
        <v>0</v>
      </c>
      <c r="W61" s="661">
        <f>DATOS!X132</f>
        <v>0</v>
      </c>
      <c r="X61" s="661">
        <f>DATOS!Y132</f>
        <v>0</v>
      </c>
      <c r="Y61" s="661">
        <f>DATOS!Z132</f>
        <v>0</v>
      </c>
      <c r="Z61" s="662">
        <f t="shared" si="0"/>
        <v>0</v>
      </c>
      <c r="AA61" s="662">
        <f t="shared" si="1"/>
        <v>0</v>
      </c>
    </row>
    <row r="62" spans="1:27" ht="13.5" thickBot="1" x14ac:dyDescent="0.25">
      <c r="A62" s="546" t="s">
        <v>763</v>
      </c>
      <c r="B62" s="661">
        <f>DATOS!C133</f>
        <v>7637.95</v>
      </c>
      <c r="C62" s="661">
        <f>DATOS!D133</f>
        <v>0</v>
      </c>
      <c r="D62" s="661">
        <f>DATOS!E133</f>
        <v>7065.04</v>
      </c>
      <c r="E62" s="661">
        <f>DATOS!F133</f>
        <v>0</v>
      </c>
      <c r="F62" s="661">
        <f>DATOS!G133</f>
        <v>3375.88</v>
      </c>
      <c r="G62" s="661">
        <f>DATOS!H133</f>
        <v>0</v>
      </c>
      <c r="H62" s="661">
        <f>DATOS!I133</f>
        <v>2133.33</v>
      </c>
      <c r="I62" s="661">
        <f>DATOS!J133</f>
        <v>0</v>
      </c>
      <c r="J62" s="661">
        <f>DATOS!K133</f>
        <v>3777.89</v>
      </c>
      <c r="K62" s="661">
        <f>DATOS!L133</f>
        <v>0</v>
      </c>
      <c r="L62" s="661">
        <f>DATOS!M133</f>
        <v>2687.65</v>
      </c>
      <c r="M62" s="661">
        <f>DATOS!N133</f>
        <v>0</v>
      </c>
      <c r="N62" s="661">
        <f>DATOS!O133</f>
        <v>4637.3999999999996</v>
      </c>
      <c r="O62" s="661">
        <f>DATOS!P133</f>
        <v>0</v>
      </c>
      <c r="P62" s="661">
        <f>DATOS!Q133</f>
        <v>0</v>
      </c>
      <c r="Q62" s="661">
        <f>DATOS!R133</f>
        <v>0</v>
      </c>
      <c r="R62" s="661">
        <f>DATOS!S133</f>
        <v>1269.6199999999999</v>
      </c>
      <c r="S62" s="661">
        <f>DATOS!T133</f>
        <v>0</v>
      </c>
      <c r="T62" s="661">
        <f>DATOS!U133</f>
        <v>5406.93</v>
      </c>
      <c r="U62" s="661">
        <f>DATOS!V133</f>
        <v>0</v>
      </c>
      <c r="V62" s="661">
        <f>DATOS!W133</f>
        <v>4296.07</v>
      </c>
      <c r="W62" s="661">
        <f>DATOS!X133</f>
        <v>0</v>
      </c>
      <c r="X62" s="661">
        <f>DATOS!Y133</f>
        <v>3686.1</v>
      </c>
      <c r="Y62" s="661">
        <f>DATOS!Z133</f>
        <v>0</v>
      </c>
      <c r="Z62" s="662">
        <f t="shared" si="0"/>
        <v>45973.86</v>
      </c>
      <c r="AA62" s="662">
        <f t="shared" si="1"/>
        <v>0</v>
      </c>
    </row>
    <row r="63" spans="1:27" ht="13.5" thickBot="1" x14ac:dyDescent="0.25">
      <c r="A63" s="546" t="s">
        <v>764</v>
      </c>
      <c r="B63" s="661">
        <f>DATOS!C134</f>
        <v>0</v>
      </c>
      <c r="C63" s="661">
        <f>DATOS!D134</f>
        <v>0</v>
      </c>
      <c r="D63" s="661">
        <f>DATOS!E134</f>
        <v>0</v>
      </c>
      <c r="E63" s="661">
        <f>DATOS!F134</f>
        <v>0</v>
      </c>
      <c r="F63" s="661">
        <f>DATOS!G134</f>
        <v>0</v>
      </c>
      <c r="G63" s="661">
        <f>DATOS!H134</f>
        <v>0</v>
      </c>
      <c r="H63" s="661">
        <f>DATOS!I134</f>
        <v>0</v>
      </c>
      <c r="I63" s="661">
        <f>DATOS!J134</f>
        <v>0</v>
      </c>
      <c r="J63" s="661">
        <f>DATOS!K134</f>
        <v>0</v>
      </c>
      <c r="K63" s="661">
        <f>DATOS!L134</f>
        <v>0</v>
      </c>
      <c r="L63" s="661">
        <f>DATOS!M134</f>
        <v>0</v>
      </c>
      <c r="M63" s="661">
        <f>DATOS!N134</f>
        <v>0</v>
      </c>
      <c r="N63" s="661">
        <f>DATOS!O134</f>
        <v>0</v>
      </c>
      <c r="O63" s="661">
        <f>DATOS!P134</f>
        <v>0</v>
      </c>
      <c r="P63" s="661">
        <f>DATOS!Q134</f>
        <v>0</v>
      </c>
      <c r="Q63" s="661">
        <f>DATOS!R134</f>
        <v>0</v>
      </c>
      <c r="R63" s="661">
        <f>DATOS!S134</f>
        <v>0</v>
      </c>
      <c r="S63" s="661">
        <f>DATOS!T134</f>
        <v>0</v>
      </c>
      <c r="T63" s="661">
        <f>DATOS!U134</f>
        <v>0</v>
      </c>
      <c r="U63" s="661">
        <f>DATOS!V134</f>
        <v>0</v>
      </c>
      <c r="V63" s="661">
        <f>DATOS!W134</f>
        <v>0</v>
      </c>
      <c r="W63" s="661">
        <f>DATOS!X134</f>
        <v>0</v>
      </c>
      <c r="X63" s="661">
        <f>DATOS!Y134</f>
        <v>0</v>
      </c>
      <c r="Y63" s="661">
        <f>DATOS!Z134</f>
        <v>0</v>
      </c>
      <c r="Z63" s="662">
        <f t="shared" si="0"/>
        <v>0</v>
      </c>
      <c r="AA63" s="662">
        <f t="shared" si="1"/>
        <v>0</v>
      </c>
    </row>
    <row r="64" spans="1:27" ht="13.5" thickBot="1" x14ac:dyDescent="0.25">
      <c r="A64" s="546" t="s">
        <v>805</v>
      </c>
      <c r="B64" s="1211">
        <f>DATOS!C135</f>
        <v>0</v>
      </c>
      <c r="C64" s="1211">
        <f>DATOS!D135</f>
        <v>0</v>
      </c>
      <c r="D64" s="1211">
        <f>DATOS!E135</f>
        <v>0</v>
      </c>
      <c r="E64" s="1211">
        <f>DATOS!F135</f>
        <v>0</v>
      </c>
      <c r="F64" s="1211">
        <f>DATOS!G135</f>
        <v>0</v>
      </c>
      <c r="G64" s="1211">
        <f>DATOS!H135</f>
        <v>0</v>
      </c>
      <c r="H64" s="1211">
        <f>DATOS!I135</f>
        <v>0</v>
      </c>
      <c r="I64" s="1211">
        <f>DATOS!J135</f>
        <v>0</v>
      </c>
      <c r="J64" s="1211">
        <f>DATOS!K135</f>
        <v>0</v>
      </c>
      <c r="K64" s="1211">
        <f>DATOS!L135</f>
        <v>0</v>
      </c>
      <c r="L64" s="1211">
        <f>DATOS!M135</f>
        <v>0</v>
      </c>
      <c r="M64" s="1211">
        <f>DATOS!N135</f>
        <v>0</v>
      </c>
      <c r="N64" s="1211">
        <f>DATOS!O135</f>
        <v>0</v>
      </c>
      <c r="O64" s="1211">
        <f>DATOS!P135</f>
        <v>0</v>
      </c>
      <c r="P64" s="1211">
        <f>DATOS!Q135</f>
        <v>0</v>
      </c>
      <c r="Q64" s="1211">
        <f>DATOS!R135</f>
        <v>0</v>
      </c>
      <c r="R64" s="1211">
        <f>DATOS!S135</f>
        <v>0</v>
      </c>
      <c r="S64" s="1211">
        <f>DATOS!T135</f>
        <v>0</v>
      </c>
      <c r="T64" s="1211">
        <f>DATOS!U135</f>
        <v>0</v>
      </c>
      <c r="U64" s="1211">
        <f>DATOS!V135</f>
        <v>0</v>
      </c>
      <c r="V64" s="1211">
        <f>DATOS!W135</f>
        <v>0</v>
      </c>
      <c r="W64" s="1211">
        <f>DATOS!X135</f>
        <v>0</v>
      </c>
      <c r="X64" s="1211">
        <f>DATOS!Y135</f>
        <v>0</v>
      </c>
      <c r="Y64" s="1211">
        <f>DATOS!Z135</f>
        <v>0</v>
      </c>
      <c r="Z64" s="662">
        <f t="shared" si="0"/>
        <v>0</v>
      </c>
      <c r="AA64" s="662">
        <f t="shared" si="1"/>
        <v>0</v>
      </c>
    </row>
    <row r="65" spans="1:27" ht="13.5" thickBot="1" x14ac:dyDescent="0.25">
      <c r="A65" s="546" t="s">
        <v>806</v>
      </c>
      <c r="B65" s="1211">
        <f>DATOS!C136</f>
        <v>882.47</v>
      </c>
      <c r="C65" s="1211">
        <f>DATOS!D136</f>
        <v>0</v>
      </c>
      <c r="D65" s="1211">
        <f>DATOS!E136</f>
        <v>47.27</v>
      </c>
      <c r="E65" s="1211">
        <f>DATOS!F136</f>
        <v>0</v>
      </c>
      <c r="F65" s="1211">
        <f>DATOS!G136</f>
        <v>120.48</v>
      </c>
      <c r="G65" s="1211">
        <f>DATOS!H136</f>
        <v>0</v>
      </c>
      <c r="H65" s="1211">
        <f>DATOS!I136</f>
        <v>202.42</v>
      </c>
      <c r="I65" s="1211">
        <f>DATOS!J136</f>
        <v>0</v>
      </c>
      <c r="J65" s="1211">
        <f>DATOS!K136</f>
        <v>26.4</v>
      </c>
      <c r="K65" s="1211">
        <f>DATOS!L136</f>
        <v>0</v>
      </c>
      <c r="L65" s="1211">
        <f>DATOS!M136</f>
        <v>336.98</v>
      </c>
      <c r="M65" s="1211">
        <f>DATOS!N136</f>
        <v>0</v>
      </c>
      <c r="N65" s="1211">
        <f>DATOS!O136</f>
        <v>810.16</v>
      </c>
      <c r="O65" s="1211">
        <f>DATOS!P136</f>
        <v>0</v>
      </c>
      <c r="P65" s="1211">
        <f>DATOS!Q136</f>
        <v>0</v>
      </c>
      <c r="Q65" s="1211">
        <f>DATOS!R136</f>
        <v>0</v>
      </c>
      <c r="R65" s="1211">
        <f>DATOS!S136</f>
        <v>46.48</v>
      </c>
      <c r="S65" s="1211">
        <f>DATOS!T136</f>
        <v>0</v>
      </c>
      <c r="T65" s="1211">
        <f>DATOS!U136</f>
        <v>348.16</v>
      </c>
      <c r="U65" s="1211">
        <f>DATOS!V136</f>
        <v>0</v>
      </c>
      <c r="V65" s="1211">
        <f>DATOS!W136</f>
        <v>397.72</v>
      </c>
      <c r="W65" s="1211">
        <f>DATOS!X136</f>
        <v>0</v>
      </c>
      <c r="X65" s="1211">
        <f>DATOS!Y136</f>
        <v>232.4</v>
      </c>
      <c r="Y65" s="1211">
        <f>DATOS!Z136</f>
        <v>0</v>
      </c>
      <c r="Z65" s="662">
        <f t="shared" si="0"/>
        <v>3450.94</v>
      </c>
      <c r="AA65" s="662">
        <f t="shared" si="1"/>
        <v>0</v>
      </c>
    </row>
    <row r="66" spans="1:27" ht="13.5" thickBot="1" x14ac:dyDescent="0.25">
      <c r="A66" s="546" t="s">
        <v>807</v>
      </c>
      <c r="B66" s="1211">
        <f>DATOS!C137</f>
        <v>0</v>
      </c>
      <c r="C66" s="1211">
        <f>DATOS!D137</f>
        <v>0</v>
      </c>
      <c r="D66" s="1211">
        <f>DATOS!E137</f>
        <v>0</v>
      </c>
      <c r="E66" s="1211">
        <f>DATOS!F137</f>
        <v>0</v>
      </c>
      <c r="F66" s="1211">
        <f>DATOS!G137</f>
        <v>0</v>
      </c>
      <c r="G66" s="1211">
        <f>DATOS!H137</f>
        <v>0</v>
      </c>
      <c r="H66" s="1211">
        <f>DATOS!I137</f>
        <v>0</v>
      </c>
      <c r="I66" s="1211">
        <f>DATOS!J137</f>
        <v>0</v>
      </c>
      <c r="J66" s="1211">
        <f>DATOS!K137</f>
        <v>0</v>
      </c>
      <c r="K66" s="1211">
        <f>DATOS!L137</f>
        <v>0</v>
      </c>
      <c r="L66" s="1211">
        <f>DATOS!M137</f>
        <v>0</v>
      </c>
      <c r="M66" s="1211">
        <f>DATOS!N137</f>
        <v>0</v>
      </c>
      <c r="N66" s="1211">
        <f>DATOS!O137</f>
        <v>0</v>
      </c>
      <c r="O66" s="1211">
        <f>DATOS!P137</f>
        <v>0</v>
      </c>
      <c r="P66" s="1211">
        <f>DATOS!Q137</f>
        <v>0</v>
      </c>
      <c r="Q66" s="1211">
        <f>DATOS!R137</f>
        <v>0</v>
      </c>
      <c r="R66" s="1211">
        <f>DATOS!S137</f>
        <v>0</v>
      </c>
      <c r="S66" s="1211">
        <f>DATOS!T137</f>
        <v>0</v>
      </c>
      <c r="T66" s="1211">
        <f>DATOS!U137</f>
        <v>0</v>
      </c>
      <c r="U66" s="1211">
        <f>DATOS!V137</f>
        <v>0</v>
      </c>
      <c r="V66" s="1211">
        <f>DATOS!W137</f>
        <v>0</v>
      </c>
      <c r="W66" s="1211">
        <f>DATOS!X137</f>
        <v>0</v>
      </c>
      <c r="X66" s="1211">
        <f>DATOS!Y137</f>
        <v>0</v>
      </c>
      <c r="Y66" s="1211">
        <f>DATOS!Z137</f>
        <v>0</v>
      </c>
      <c r="Z66" s="662">
        <f t="shared" si="0"/>
        <v>0</v>
      </c>
      <c r="AA66" s="662">
        <f t="shared" si="1"/>
        <v>0</v>
      </c>
    </row>
    <row r="67" spans="1:27" ht="13.5" thickBot="1" x14ac:dyDescent="0.25">
      <c r="A67" s="546" t="s">
        <v>808</v>
      </c>
      <c r="B67" s="1211">
        <f>DATOS!C138</f>
        <v>2718.41</v>
      </c>
      <c r="C67" s="1211">
        <f>DATOS!D138</f>
        <v>0</v>
      </c>
      <c r="D67" s="1211">
        <f>DATOS!E138</f>
        <v>0</v>
      </c>
      <c r="E67" s="1211">
        <f>DATOS!F138</f>
        <v>0</v>
      </c>
      <c r="F67" s="1211">
        <f>DATOS!G138</f>
        <v>1410.93</v>
      </c>
      <c r="G67" s="1211">
        <f>DATOS!H138</f>
        <v>0</v>
      </c>
      <c r="H67" s="1211">
        <f>DATOS!I138</f>
        <v>3642.69</v>
      </c>
      <c r="I67" s="1211">
        <f>DATOS!J138</f>
        <v>0</v>
      </c>
      <c r="J67" s="1211">
        <f>DATOS!K138</f>
        <v>1705.84</v>
      </c>
      <c r="K67" s="1211">
        <f>DATOS!L138</f>
        <v>0</v>
      </c>
      <c r="L67" s="1211">
        <f>DATOS!M138</f>
        <v>3448.77</v>
      </c>
      <c r="M67" s="1211">
        <f>DATOS!N138</f>
        <v>0</v>
      </c>
      <c r="N67" s="1211">
        <f>DATOS!O138</f>
        <v>2706.12</v>
      </c>
      <c r="O67" s="1211">
        <f>DATOS!P138</f>
        <v>0</v>
      </c>
      <c r="P67" s="1211">
        <f>DATOS!Q138</f>
        <v>0</v>
      </c>
      <c r="Q67" s="1211">
        <f>DATOS!R138</f>
        <v>0</v>
      </c>
      <c r="R67" s="1211">
        <f>DATOS!S138</f>
        <v>2557.1999999999998</v>
      </c>
      <c r="S67" s="1211">
        <f>DATOS!T138</f>
        <v>0</v>
      </c>
      <c r="T67" s="1211">
        <f>DATOS!U138</f>
        <v>0</v>
      </c>
      <c r="U67" s="1211">
        <f>DATOS!V138</f>
        <v>0</v>
      </c>
      <c r="V67" s="1211">
        <f>DATOS!W138</f>
        <v>4692.93</v>
      </c>
      <c r="W67" s="1211">
        <f>DATOS!X138</f>
        <v>0</v>
      </c>
      <c r="X67" s="1211">
        <f>DATOS!Y138</f>
        <v>3879.05</v>
      </c>
      <c r="Y67" s="1211">
        <f>DATOS!Z138</f>
        <v>0</v>
      </c>
      <c r="Z67" s="662">
        <f t="shared" si="0"/>
        <v>26761.940000000002</v>
      </c>
      <c r="AA67" s="662">
        <f t="shared" si="1"/>
        <v>0</v>
      </c>
    </row>
    <row r="68" spans="1:27" ht="13.5" thickBot="1" x14ac:dyDescent="0.25">
      <c r="A68" s="546" t="s">
        <v>655</v>
      </c>
      <c r="B68" s="661">
        <f>DATOS!C143</f>
        <v>50</v>
      </c>
      <c r="C68" s="661">
        <f>DATOS!D143</f>
        <v>0</v>
      </c>
      <c r="D68" s="661">
        <f>DATOS!E143</f>
        <v>177.78</v>
      </c>
      <c r="E68" s="661">
        <f>DATOS!F143</f>
        <v>0</v>
      </c>
      <c r="F68" s="661">
        <f>DATOS!G143</f>
        <v>0</v>
      </c>
      <c r="G68" s="661">
        <f>DATOS!H143</f>
        <v>0</v>
      </c>
      <c r="H68" s="661">
        <f>DATOS!I143</f>
        <v>50</v>
      </c>
      <c r="I68" s="661">
        <f>DATOS!J143</f>
        <v>0</v>
      </c>
      <c r="J68" s="661">
        <f>DATOS!K143</f>
        <v>0</v>
      </c>
      <c r="K68" s="661">
        <f>DATOS!L143</f>
        <v>0</v>
      </c>
      <c r="L68" s="661">
        <f>DATOS!M143</f>
        <v>0</v>
      </c>
      <c r="M68" s="661">
        <f>DATOS!N143</f>
        <v>0</v>
      </c>
      <c r="N68" s="661">
        <f>DATOS!O143</f>
        <v>210</v>
      </c>
      <c r="O68" s="661">
        <f>DATOS!P143</f>
        <v>0</v>
      </c>
      <c r="P68" s="661">
        <f>DATOS!Q143</f>
        <v>160</v>
      </c>
      <c r="Q68" s="661">
        <f>DATOS!R143</f>
        <v>0</v>
      </c>
      <c r="R68" s="661">
        <f>DATOS!S143</f>
        <v>0</v>
      </c>
      <c r="S68" s="661">
        <f>DATOS!T143</f>
        <v>0</v>
      </c>
      <c r="T68" s="661">
        <f>DATOS!U143</f>
        <v>0</v>
      </c>
      <c r="U68" s="661">
        <f>DATOS!V143</f>
        <v>0</v>
      </c>
      <c r="V68" s="661">
        <f>DATOS!W143</f>
        <v>0</v>
      </c>
      <c r="W68" s="661">
        <f>DATOS!X143</f>
        <v>0</v>
      </c>
      <c r="X68" s="661">
        <f>DATOS!Y143</f>
        <v>0</v>
      </c>
      <c r="Y68" s="661">
        <f>DATOS!Z143</f>
        <v>0</v>
      </c>
      <c r="Z68" s="662">
        <f t="shared" si="0"/>
        <v>647.78</v>
      </c>
      <c r="AA68" s="662">
        <f t="shared" si="1"/>
        <v>0</v>
      </c>
    </row>
    <row r="69" spans="1:27" ht="13.5" thickBot="1" x14ac:dyDescent="0.25">
      <c r="A69" s="546" t="s">
        <v>656</v>
      </c>
      <c r="B69" s="661">
        <f>DATOS!C144</f>
        <v>0</v>
      </c>
      <c r="C69" s="661">
        <f>DATOS!D144</f>
        <v>0</v>
      </c>
      <c r="D69" s="661">
        <f>DATOS!E144</f>
        <v>952.75</v>
      </c>
      <c r="E69" s="661">
        <f>DATOS!F144</f>
        <v>0</v>
      </c>
      <c r="F69" s="661">
        <f>DATOS!G144</f>
        <v>161.5</v>
      </c>
      <c r="G69" s="661">
        <f>DATOS!H144</f>
        <v>0</v>
      </c>
      <c r="H69" s="661">
        <f>DATOS!I144</f>
        <v>255</v>
      </c>
      <c r="I69" s="661">
        <f>DATOS!J144</f>
        <v>0</v>
      </c>
      <c r="J69" s="661">
        <f>DATOS!K144</f>
        <v>623.95000000000005</v>
      </c>
      <c r="K69" s="661">
        <f>DATOS!L144</f>
        <v>0</v>
      </c>
      <c r="L69" s="661">
        <f>DATOS!M144</f>
        <v>92.5</v>
      </c>
      <c r="M69" s="661">
        <f>DATOS!N144</f>
        <v>0</v>
      </c>
      <c r="N69" s="661">
        <f>DATOS!O144</f>
        <v>0</v>
      </c>
      <c r="O69" s="661">
        <f>DATOS!P144</f>
        <v>0</v>
      </c>
      <c r="P69" s="661">
        <f>DATOS!Q144</f>
        <v>102.3</v>
      </c>
      <c r="Q69" s="661">
        <f>DATOS!R144</f>
        <v>0</v>
      </c>
      <c r="R69" s="661">
        <f>DATOS!S144</f>
        <v>0</v>
      </c>
      <c r="S69" s="661">
        <f>DATOS!T144</f>
        <v>0</v>
      </c>
      <c r="T69" s="661">
        <f>DATOS!U144</f>
        <v>0</v>
      </c>
      <c r="U69" s="661">
        <f>DATOS!V144</f>
        <v>0</v>
      </c>
      <c r="V69" s="661">
        <f>DATOS!W144</f>
        <v>0</v>
      </c>
      <c r="W69" s="661">
        <f>DATOS!X144</f>
        <v>0</v>
      </c>
      <c r="X69" s="661">
        <f>DATOS!Y144</f>
        <v>0</v>
      </c>
      <c r="Y69" s="661">
        <f>DATOS!Z144</f>
        <v>0</v>
      </c>
      <c r="Z69" s="662">
        <f t="shared" si="0"/>
        <v>2188</v>
      </c>
      <c r="AA69" s="662">
        <f t="shared" si="1"/>
        <v>0</v>
      </c>
    </row>
    <row r="70" spans="1:27" ht="13.5" thickBot="1" x14ac:dyDescent="0.25">
      <c r="A70" s="546" t="s">
        <v>657</v>
      </c>
      <c r="B70" s="661">
        <f>DATOS!C145</f>
        <v>0</v>
      </c>
      <c r="C70" s="661">
        <f>DATOS!D145</f>
        <v>0</v>
      </c>
      <c r="D70" s="661">
        <f>DATOS!E145</f>
        <v>0</v>
      </c>
      <c r="E70" s="661">
        <f>DATOS!F145</f>
        <v>0</v>
      </c>
      <c r="F70" s="661">
        <f>DATOS!G145</f>
        <v>0</v>
      </c>
      <c r="G70" s="661">
        <f>DATOS!H145</f>
        <v>0</v>
      </c>
      <c r="H70" s="661">
        <f>DATOS!I145</f>
        <v>0</v>
      </c>
      <c r="I70" s="661">
        <f>DATOS!J145</f>
        <v>0</v>
      </c>
      <c r="J70" s="661">
        <f>DATOS!K145</f>
        <v>0</v>
      </c>
      <c r="K70" s="661">
        <f>DATOS!L145</f>
        <v>0</v>
      </c>
      <c r="L70" s="661">
        <f>DATOS!M145</f>
        <v>0</v>
      </c>
      <c r="M70" s="661">
        <f>DATOS!N145</f>
        <v>0</v>
      </c>
      <c r="N70" s="661">
        <f>DATOS!O145</f>
        <v>0</v>
      </c>
      <c r="O70" s="661">
        <f>DATOS!P145</f>
        <v>0</v>
      </c>
      <c r="P70" s="661">
        <f>DATOS!Q145</f>
        <v>0</v>
      </c>
      <c r="Q70" s="661">
        <f>DATOS!R145</f>
        <v>0</v>
      </c>
      <c r="R70" s="661">
        <f>DATOS!S145</f>
        <v>0</v>
      </c>
      <c r="S70" s="661">
        <f>DATOS!T145</f>
        <v>0</v>
      </c>
      <c r="T70" s="661">
        <f>DATOS!U145</f>
        <v>0</v>
      </c>
      <c r="U70" s="661">
        <f>DATOS!V145</f>
        <v>0</v>
      </c>
      <c r="V70" s="661">
        <f>DATOS!W145</f>
        <v>0</v>
      </c>
      <c r="W70" s="661">
        <f>DATOS!X145</f>
        <v>0</v>
      </c>
      <c r="X70" s="661">
        <f>DATOS!Y145</f>
        <v>0</v>
      </c>
      <c r="Y70" s="661">
        <f>DATOS!Z145</f>
        <v>0</v>
      </c>
      <c r="Z70" s="662">
        <f t="shared" si="0"/>
        <v>0</v>
      </c>
      <c r="AA70" s="662">
        <f t="shared" si="1"/>
        <v>0</v>
      </c>
    </row>
    <row r="71" spans="1:27" ht="13.5" thickBot="1" x14ac:dyDescent="0.25">
      <c r="A71" s="546" t="s">
        <v>658</v>
      </c>
      <c r="B71" s="661">
        <f>DATOS!C146</f>
        <v>0</v>
      </c>
      <c r="C71" s="661">
        <f>DATOS!D146</f>
        <v>0</v>
      </c>
      <c r="D71" s="661">
        <f>DATOS!E146</f>
        <v>0</v>
      </c>
      <c r="E71" s="661">
        <f>DATOS!F146</f>
        <v>0</v>
      </c>
      <c r="F71" s="661">
        <f>DATOS!G146</f>
        <v>0</v>
      </c>
      <c r="G71" s="661">
        <f>DATOS!H146</f>
        <v>0</v>
      </c>
      <c r="H71" s="661">
        <f>DATOS!I146</f>
        <v>0</v>
      </c>
      <c r="I71" s="661">
        <f>DATOS!J146</f>
        <v>0</v>
      </c>
      <c r="J71" s="661">
        <f>DATOS!K146</f>
        <v>0</v>
      </c>
      <c r="K71" s="661">
        <f>DATOS!L146</f>
        <v>0</v>
      </c>
      <c r="L71" s="661">
        <f>DATOS!M146</f>
        <v>185.47</v>
      </c>
      <c r="M71" s="661">
        <f>DATOS!N146</f>
        <v>0</v>
      </c>
      <c r="N71" s="661">
        <f>DATOS!O146</f>
        <v>0</v>
      </c>
      <c r="O71" s="661">
        <f>DATOS!P146</f>
        <v>0</v>
      </c>
      <c r="P71" s="661">
        <f>DATOS!Q146</f>
        <v>0</v>
      </c>
      <c r="Q71" s="661">
        <f>DATOS!R146</f>
        <v>0</v>
      </c>
      <c r="R71" s="661">
        <f>DATOS!S146</f>
        <v>0</v>
      </c>
      <c r="S71" s="661">
        <f>DATOS!T146</f>
        <v>0</v>
      </c>
      <c r="T71" s="661">
        <f>DATOS!U146</f>
        <v>0</v>
      </c>
      <c r="U71" s="661">
        <f>DATOS!V146</f>
        <v>0</v>
      </c>
      <c r="V71" s="661">
        <f>DATOS!W146</f>
        <v>0</v>
      </c>
      <c r="W71" s="661">
        <f>DATOS!X146</f>
        <v>0</v>
      </c>
      <c r="X71" s="661">
        <f>DATOS!Y146</f>
        <v>0</v>
      </c>
      <c r="Y71" s="661">
        <f>DATOS!Z146</f>
        <v>0</v>
      </c>
      <c r="Z71" s="662">
        <f t="shared" si="0"/>
        <v>185.47</v>
      </c>
      <c r="AA71" s="662">
        <f t="shared" si="1"/>
        <v>0</v>
      </c>
    </row>
    <row r="72" spans="1:27" ht="13.5" thickBot="1" x14ac:dyDescent="0.25">
      <c r="A72" s="546" t="s">
        <v>659</v>
      </c>
      <c r="B72" s="661">
        <f>DATOS!C147</f>
        <v>0</v>
      </c>
      <c r="C72" s="661">
        <f>DATOS!D147</f>
        <v>0</v>
      </c>
      <c r="D72" s="661">
        <f>DATOS!E147</f>
        <v>0</v>
      </c>
      <c r="E72" s="661">
        <f>DATOS!F147</f>
        <v>0</v>
      </c>
      <c r="F72" s="661">
        <f>DATOS!G147</f>
        <v>0</v>
      </c>
      <c r="G72" s="661">
        <f>DATOS!H147</f>
        <v>0</v>
      </c>
      <c r="H72" s="661">
        <f>DATOS!I147</f>
        <v>0</v>
      </c>
      <c r="I72" s="661">
        <f>DATOS!J147</f>
        <v>0</v>
      </c>
      <c r="J72" s="661">
        <f>DATOS!K147</f>
        <v>0</v>
      </c>
      <c r="K72" s="661">
        <f>DATOS!L147</f>
        <v>0</v>
      </c>
      <c r="L72" s="661">
        <f>DATOS!M147</f>
        <v>0</v>
      </c>
      <c r="M72" s="661">
        <f>DATOS!N147</f>
        <v>0</v>
      </c>
      <c r="N72" s="661">
        <f>DATOS!O147</f>
        <v>0</v>
      </c>
      <c r="O72" s="661">
        <f>DATOS!P147</f>
        <v>0</v>
      </c>
      <c r="P72" s="661">
        <f>DATOS!Q147</f>
        <v>0</v>
      </c>
      <c r="Q72" s="661">
        <f>DATOS!R147</f>
        <v>0</v>
      </c>
      <c r="R72" s="661">
        <f>DATOS!S147</f>
        <v>0</v>
      </c>
      <c r="S72" s="661">
        <f>DATOS!T147</f>
        <v>0</v>
      </c>
      <c r="T72" s="661">
        <f>DATOS!U147</f>
        <v>0</v>
      </c>
      <c r="U72" s="661">
        <f>DATOS!V147</f>
        <v>0</v>
      </c>
      <c r="V72" s="661">
        <f>DATOS!W147</f>
        <v>0</v>
      </c>
      <c r="W72" s="661">
        <f>DATOS!X147</f>
        <v>0</v>
      </c>
      <c r="X72" s="661">
        <f>DATOS!Y147</f>
        <v>0</v>
      </c>
      <c r="Y72" s="661">
        <f>DATOS!Z147</f>
        <v>0</v>
      </c>
      <c r="Z72" s="662">
        <f t="shared" si="0"/>
        <v>0</v>
      </c>
      <c r="AA72" s="662">
        <f t="shared" si="1"/>
        <v>0</v>
      </c>
    </row>
    <row r="73" spans="1:27" ht="13.5" thickBot="1" x14ac:dyDescent="0.25">
      <c r="A73" s="546" t="s">
        <v>660</v>
      </c>
      <c r="B73" s="661">
        <f>DATOS!C148</f>
        <v>248.48</v>
      </c>
      <c r="C73" s="661">
        <f>DATOS!D148</f>
        <v>0</v>
      </c>
      <c r="D73" s="661">
        <f>DATOS!E148</f>
        <v>694.97</v>
      </c>
      <c r="E73" s="661">
        <f>DATOS!F148</f>
        <v>0</v>
      </c>
      <c r="F73" s="661">
        <f>DATOS!G148</f>
        <v>0</v>
      </c>
      <c r="G73" s="661">
        <f>DATOS!H148</f>
        <v>0</v>
      </c>
      <c r="H73" s="661">
        <f>DATOS!I148</f>
        <v>254.76</v>
      </c>
      <c r="I73" s="661">
        <f>DATOS!J148</f>
        <v>0</v>
      </c>
      <c r="J73" s="661">
        <f>DATOS!K148</f>
        <v>410.48</v>
      </c>
      <c r="K73" s="661">
        <f>DATOS!L148</f>
        <v>0</v>
      </c>
      <c r="L73" s="661">
        <f>DATOS!M148</f>
        <v>781.49</v>
      </c>
      <c r="M73" s="661">
        <f>DATOS!N148</f>
        <v>0</v>
      </c>
      <c r="N73" s="661">
        <f>DATOS!O148</f>
        <v>438.32</v>
      </c>
      <c r="O73" s="661">
        <f>DATOS!P148</f>
        <v>0</v>
      </c>
      <c r="P73" s="661">
        <f>DATOS!Q148</f>
        <v>0</v>
      </c>
      <c r="Q73" s="661">
        <f>DATOS!R148</f>
        <v>0</v>
      </c>
      <c r="R73" s="661">
        <f>DATOS!S148</f>
        <v>754.18</v>
      </c>
      <c r="S73" s="661">
        <f>DATOS!T148</f>
        <v>0</v>
      </c>
      <c r="T73" s="661">
        <f>DATOS!U148</f>
        <v>141.13999999999999</v>
      </c>
      <c r="U73" s="661">
        <f>DATOS!V148</f>
        <v>0</v>
      </c>
      <c r="V73" s="661">
        <f>DATOS!W148</f>
        <v>271.33999999999997</v>
      </c>
      <c r="W73" s="661">
        <f>DATOS!X148</f>
        <v>0</v>
      </c>
      <c r="X73" s="661">
        <f>DATOS!Y148</f>
        <v>0</v>
      </c>
      <c r="Y73" s="661">
        <f>DATOS!Z148</f>
        <v>0</v>
      </c>
      <c r="Z73" s="662">
        <f t="shared" si="0"/>
        <v>3995.1600000000003</v>
      </c>
      <c r="AA73" s="662">
        <f t="shared" si="1"/>
        <v>0</v>
      </c>
    </row>
    <row r="74" spans="1:27" ht="13.5" thickBot="1" x14ac:dyDescent="0.25">
      <c r="A74" s="546" t="s">
        <v>180</v>
      </c>
      <c r="B74" s="661">
        <f>DATOS!C149</f>
        <v>0</v>
      </c>
      <c r="C74" s="661">
        <f>DATOS!D149</f>
        <v>0</v>
      </c>
      <c r="D74" s="661">
        <f>DATOS!E149</f>
        <v>0</v>
      </c>
      <c r="E74" s="661">
        <f>DATOS!F149</f>
        <v>0</v>
      </c>
      <c r="F74" s="661">
        <f>DATOS!G149</f>
        <v>0</v>
      </c>
      <c r="G74" s="661">
        <f>DATOS!H149</f>
        <v>0</v>
      </c>
      <c r="H74" s="661">
        <f>DATOS!I149</f>
        <v>0</v>
      </c>
      <c r="I74" s="661">
        <f>DATOS!J149</f>
        <v>0</v>
      </c>
      <c r="J74" s="661">
        <f>DATOS!K149</f>
        <v>0</v>
      </c>
      <c r="K74" s="661">
        <f>DATOS!L149</f>
        <v>0</v>
      </c>
      <c r="L74" s="661">
        <f>DATOS!M149</f>
        <v>0</v>
      </c>
      <c r="M74" s="661">
        <f>DATOS!N149</f>
        <v>0</v>
      </c>
      <c r="N74" s="661">
        <f>DATOS!O149</f>
        <v>0</v>
      </c>
      <c r="O74" s="661">
        <f>DATOS!P149</f>
        <v>0</v>
      </c>
      <c r="P74" s="661">
        <f>DATOS!Q149</f>
        <v>0</v>
      </c>
      <c r="Q74" s="661">
        <f>DATOS!R149</f>
        <v>0</v>
      </c>
      <c r="R74" s="661">
        <f>DATOS!S149</f>
        <v>0</v>
      </c>
      <c r="S74" s="661">
        <f>DATOS!T149</f>
        <v>0</v>
      </c>
      <c r="T74" s="661">
        <f>DATOS!U149</f>
        <v>0</v>
      </c>
      <c r="U74" s="661">
        <f>DATOS!V149</f>
        <v>0</v>
      </c>
      <c r="V74" s="661">
        <f>DATOS!W149</f>
        <v>0</v>
      </c>
      <c r="W74" s="661">
        <f>DATOS!X149</f>
        <v>0</v>
      </c>
      <c r="X74" s="661">
        <f>DATOS!Y149</f>
        <v>0</v>
      </c>
      <c r="Y74" s="661">
        <f>DATOS!Z149</f>
        <v>0</v>
      </c>
      <c r="Z74" s="662">
        <f t="shared" si="0"/>
        <v>0</v>
      </c>
      <c r="AA74" s="662">
        <f t="shared" si="1"/>
        <v>0</v>
      </c>
    </row>
    <row r="75" spans="1:27" ht="13.5" thickBot="1" x14ac:dyDescent="0.25">
      <c r="A75" s="546" t="s">
        <v>414</v>
      </c>
      <c r="B75" s="661">
        <f>DATOS!C150</f>
        <v>0</v>
      </c>
      <c r="C75" s="661">
        <f>DATOS!D150</f>
        <v>0</v>
      </c>
      <c r="D75" s="661">
        <f>DATOS!E150</f>
        <v>0</v>
      </c>
      <c r="E75" s="661">
        <f>DATOS!F150</f>
        <v>0</v>
      </c>
      <c r="F75" s="661">
        <f>DATOS!G150</f>
        <v>6356.94</v>
      </c>
      <c r="G75" s="661">
        <f>DATOS!H150</f>
        <v>0</v>
      </c>
      <c r="H75" s="661">
        <f>DATOS!I150</f>
        <v>0</v>
      </c>
      <c r="I75" s="661">
        <f>DATOS!J150</f>
        <v>0</v>
      </c>
      <c r="J75" s="661">
        <f>DATOS!K150</f>
        <v>629.42999999999995</v>
      </c>
      <c r="K75" s="661">
        <f>DATOS!L150</f>
        <v>0</v>
      </c>
      <c r="L75" s="661">
        <f>DATOS!M150</f>
        <v>585.70000000000005</v>
      </c>
      <c r="M75" s="661">
        <f>DATOS!N150</f>
        <v>0</v>
      </c>
      <c r="N75" s="661">
        <f>DATOS!O150</f>
        <v>396.8</v>
      </c>
      <c r="O75" s="661">
        <f>DATOS!P150</f>
        <v>0</v>
      </c>
      <c r="P75" s="661">
        <f>DATOS!Q150</f>
        <v>0</v>
      </c>
      <c r="Q75" s="661">
        <f>DATOS!R150</f>
        <v>0</v>
      </c>
      <c r="R75" s="661">
        <f>DATOS!S150</f>
        <v>3765.5</v>
      </c>
      <c r="S75" s="661">
        <f>DATOS!T150</f>
        <v>0</v>
      </c>
      <c r="T75" s="661">
        <f>DATOS!U150</f>
        <v>0</v>
      </c>
      <c r="U75" s="661">
        <f>DATOS!V150</f>
        <v>0</v>
      </c>
      <c r="V75" s="661">
        <f>DATOS!W150</f>
        <v>0</v>
      </c>
      <c r="W75" s="661">
        <f>DATOS!X150</f>
        <v>0</v>
      </c>
      <c r="X75" s="661">
        <f>DATOS!Y150</f>
        <v>0</v>
      </c>
      <c r="Y75" s="661">
        <f>DATOS!Z150</f>
        <v>0</v>
      </c>
      <c r="Z75" s="662">
        <f t="shared" si="0"/>
        <v>11734.369999999999</v>
      </c>
      <c r="AA75" s="662">
        <f t="shared" si="1"/>
        <v>0</v>
      </c>
    </row>
    <row r="76" spans="1:27" ht="13.5" thickBot="1" x14ac:dyDescent="0.25">
      <c r="A76" s="546" t="s">
        <v>415</v>
      </c>
      <c r="B76" s="661">
        <f>DATOS!C151</f>
        <v>0</v>
      </c>
      <c r="C76" s="661">
        <f>DATOS!D151</f>
        <v>0</v>
      </c>
      <c r="D76" s="661">
        <f>DATOS!E151</f>
        <v>0</v>
      </c>
      <c r="E76" s="661">
        <f>DATOS!F151</f>
        <v>0</v>
      </c>
      <c r="F76" s="661">
        <f>DATOS!G151</f>
        <v>0</v>
      </c>
      <c r="G76" s="661">
        <f>DATOS!H151</f>
        <v>0</v>
      </c>
      <c r="H76" s="661">
        <f>DATOS!I151</f>
        <v>0</v>
      </c>
      <c r="I76" s="661">
        <f>DATOS!J151</f>
        <v>0</v>
      </c>
      <c r="J76" s="661">
        <f>DATOS!K151</f>
        <v>0</v>
      </c>
      <c r="K76" s="661">
        <f>DATOS!L151</f>
        <v>0</v>
      </c>
      <c r="L76" s="661">
        <f>DATOS!M151</f>
        <v>0</v>
      </c>
      <c r="M76" s="661">
        <f>DATOS!N151</f>
        <v>0</v>
      </c>
      <c r="N76" s="661">
        <f>DATOS!O151</f>
        <v>30</v>
      </c>
      <c r="O76" s="661">
        <f>DATOS!P151</f>
        <v>0</v>
      </c>
      <c r="P76" s="661">
        <f>DATOS!Q151</f>
        <v>0</v>
      </c>
      <c r="Q76" s="661">
        <f>DATOS!R151</f>
        <v>0</v>
      </c>
      <c r="R76" s="661">
        <f>DATOS!S151</f>
        <v>75</v>
      </c>
      <c r="S76" s="661">
        <f>DATOS!T151</f>
        <v>0</v>
      </c>
      <c r="T76" s="661">
        <f>DATOS!U151</f>
        <v>0</v>
      </c>
      <c r="U76" s="661">
        <f>DATOS!V151</f>
        <v>0</v>
      </c>
      <c r="V76" s="661">
        <f>DATOS!W151</f>
        <v>0</v>
      </c>
      <c r="W76" s="661">
        <f>DATOS!X151</f>
        <v>0</v>
      </c>
      <c r="X76" s="661">
        <f>DATOS!Y151</f>
        <v>0</v>
      </c>
      <c r="Y76" s="661">
        <f>DATOS!Z151</f>
        <v>0</v>
      </c>
      <c r="Z76" s="662">
        <f t="shared" si="0"/>
        <v>105</v>
      </c>
      <c r="AA76" s="662">
        <f t="shared" si="1"/>
        <v>0</v>
      </c>
    </row>
    <row r="77" spans="1:27" ht="13.5" thickBot="1" x14ac:dyDescent="0.25">
      <c r="A77" s="546" t="s">
        <v>416</v>
      </c>
      <c r="B77" s="661">
        <f>DATOS!C152</f>
        <v>0</v>
      </c>
      <c r="C77" s="661">
        <f>DATOS!D152</f>
        <v>0</v>
      </c>
      <c r="D77" s="661">
        <f>DATOS!E152</f>
        <v>0</v>
      </c>
      <c r="E77" s="661">
        <f>DATOS!F152</f>
        <v>0</v>
      </c>
      <c r="F77" s="661">
        <f>DATOS!G152</f>
        <v>0</v>
      </c>
      <c r="G77" s="661">
        <f>DATOS!H152</f>
        <v>0</v>
      </c>
      <c r="H77" s="661">
        <f>DATOS!I152</f>
        <v>0</v>
      </c>
      <c r="I77" s="661">
        <f>DATOS!J152</f>
        <v>0</v>
      </c>
      <c r="J77" s="661">
        <f>DATOS!K152</f>
        <v>0</v>
      </c>
      <c r="K77" s="661">
        <f>DATOS!L152</f>
        <v>0</v>
      </c>
      <c r="L77" s="661">
        <f>DATOS!M152</f>
        <v>0</v>
      </c>
      <c r="M77" s="661">
        <f>DATOS!N152</f>
        <v>0</v>
      </c>
      <c r="N77" s="661">
        <f>DATOS!O152</f>
        <v>0</v>
      </c>
      <c r="O77" s="661">
        <f>DATOS!P152</f>
        <v>0</v>
      </c>
      <c r="P77" s="661">
        <f>DATOS!Q152</f>
        <v>0</v>
      </c>
      <c r="Q77" s="661">
        <f>DATOS!R152</f>
        <v>0</v>
      </c>
      <c r="R77" s="661">
        <f>DATOS!S152</f>
        <v>0</v>
      </c>
      <c r="S77" s="661">
        <f>DATOS!T152</f>
        <v>0</v>
      </c>
      <c r="T77" s="661">
        <f>DATOS!U152</f>
        <v>0</v>
      </c>
      <c r="U77" s="661">
        <f>DATOS!V152</f>
        <v>0</v>
      </c>
      <c r="V77" s="661">
        <f>DATOS!W152</f>
        <v>0</v>
      </c>
      <c r="W77" s="661">
        <f>DATOS!X152</f>
        <v>0</v>
      </c>
      <c r="X77" s="661">
        <f>DATOS!Y152</f>
        <v>0</v>
      </c>
      <c r="Y77" s="661">
        <f>DATOS!Z152</f>
        <v>0</v>
      </c>
      <c r="Z77" s="662">
        <f t="shared" si="0"/>
        <v>0</v>
      </c>
      <c r="AA77" s="662">
        <f t="shared" si="1"/>
        <v>0</v>
      </c>
    </row>
    <row r="78" spans="1:27" ht="13.5" thickBot="1" x14ac:dyDescent="0.25">
      <c r="A78" s="546" t="s">
        <v>640</v>
      </c>
      <c r="B78" s="661">
        <f>DATOS!C153</f>
        <v>0</v>
      </c>
      <c r="C78" s="661">
        <f>DATOS!D153</f>
        <v>0</v>
      </c>
      <c r="D78" s="661">
        <f>DATOS!E153</f>
        <v>0</v>
      </c>
      <c r="E78" s="661">
        <f>DATOS!F153</f>
        <v>0</v>
      </c>
      <c r="F78" s="661">
        <f>DATOS!G153</f>
        <v>0</v>
      </c>
      <c r="G78" s="661">
        <f>DATOS!H153</f>
        <v>0</v>
      </c>
      <c r="H78" s="661">
        <f>DATOS!I153</f>
        <v>103.24</v>
      </c>
      <c r="I78" s="661">
        <f>DATOS!J153</f>
        <v>0</v>
      </c>
      <c r="J78" s="661">
        <f>DATOS!K153</f>
        <v>71.959999999999994</v>
      </c>
      <c r="K78" s="661">
        <f>DATOS!L153</f>
        <v>0</v>
      </c>
      <c r="L78" s="661">
        <f>DATOS!M153</f>
        <v>0</v>
      </c>
      <c r="M78" s="661">
        <f>DATOS!N153</f>
        <v>0</v>
      </c>
      <c r="N78" s="661">
        <f>DATOS!O153</f>
        <v>8.4</v>
      </c>
      <c r="O78" s="661">
        <f>DATOS!P153</f>
        <v>0</v>
      </c>
      <c r="P78" s="661">
        <f>DATOS!Q153</f>
        <v>0</v>
      </c>
      <c r="Q78" s="661">
        <f>DATOS!R153</f>
        <v>0</v>
      </c>
      <c r="R78" s="661">
        <f>DATOS!S153</f>
        <v>244.85</v>
      </c>
      <c r="S78" s="661">
        <f>DATOS!T153</f>
        <v>0</v>
      </c>
      <c r="T78" s="661">
        <f>DATOS!U153</f>
        <v>0</v>
      </c>
      <c r="U78" s="661">
        <f>DATOS!V153</f>
        <v>0</v>
      </c>
      <c r="V78" s="661">
        <f>DATOS!W153</f>
        <v>0</v>
      </c>
      <c r="W78" s="661">
        <f>DATOS!X153</f>
        <v>0</v>
      </c>
      <c r="X78" s="661">
        <f>DATOS!Y153</f>
        <v>0</v>
      </c>
      <c r="Y78" s="661">
        <f>DATOS!Z153</f>
        <v>0</v>
      </c>
      <c r="Z78" s="662">
        <f t="shared" si="0"/>
        <v>428.45</v>
      </c>
      <c r="AA78" s="662">
        <f t="shared" si="1"/>
        <v>0</v>
      </c>
    </row>
    <row r="79" spans="1:27" ht="15.75" thickBot="1" x14ac:dyDescent="0.3">
      <c r="A79" s="167" t="s">
        <v>278</v>
      </c>
      <c r="B79" s="663">
        <f>SUM(B10:B78)</f>
        <v>237860.23000000004</v>
      </c>
      <c r="C79" s="663">
        <f t="shared" ref="C79:AA79" si="2">SUM(C10:C78)</f>
        <v>100491.06</v>
      </c>
      <c r="D79" s="663">
        <f t="shared" si="2"/>
        <v>214149.94000000003</v>
      </c>
      <c r="E79" s="663">
        <f t="shared" si="2"/>
        <v>140829.41</v>
      </c>
      <c r="F79" s="663">
        <f t="shared" si="2"/>
        <v>219148.17000000004</v>
      </c>
      <c r="G79" s="663">
        <f t="shared" si="2"/>
        <v>106991.09</v>
      </c>
      <c r="H79" s="663">
        <f t="shared" si="2"/>
        <v>212698.24000000002</v>
      </c>
      <c r="I79" s="663">
        <f t="shared" si="2"/>
        <v>115177.02</v>
      </c>
      <c r="J79" s="663">
        <f t="shared" si="2"/>
        <v>246084.16</v>
      </c>
      <c r="K79" s="663">
        <f t="shared" si="2"/>
        <v>131578.49</v>
      </c>
      <c r="L79" s="663">
        <f t="shared" si="2"/>
        <v>296660.46000000002</v>
      </c>
      <c r="M79" s="663">
        <f t="shared" si="2"/>
        <v>146938.93</v>
      </c>
      <c r="N79" s="663">
        <f t="shared" si="2"/>
        <v>322187.67</v>
      </c>
      <c r="O79" s="663">
        <f t="shared" si="2"/>
        <v>1171781.1100000001</v>
      </c>
      <c r="P79" s="663">
        <f t="shared" si="2"/>
        <v>59924.380000000005</v>
      </c>
      <c r="Q79" s="663">
        <f t="shared" si="2"/>
        <v>15263.97</v>
      </c>
      <c r="R79" s="663">
        <f t="shared" si="2"/>
        <v>279503.94999999995</v>
      </c>
      <c r="S79" s="663">
        <f t="shared" si="2"/>
        <v>163103.23000000001</v>
      </c>
      <c r="T79" s="663">
        <f t="shared" si="2"/>
        <v>269911.25999999995</v>
      </c>
      <c r="U79" s="663">
        <f t="shared" si="2"/>
        <v>168743.54</v>
      </c>
      <c r="V79" s="663">
        <f t="shared" si="2"/>
        <v>246255.48999999996</v>
      </c>
      <c r="W79" s="663">
        <f t="shared" si="2"/>
        <v>154602.73000000001</v>
      </c>
      <c r="X79" s="663">
        <f t="shared" si="2"/>
        <v>164573.41</v>
      </c>
      <c r="Y79" s="663">
        <f t="shared" si="2"/>
        <v>126420.76</v>
      </c>
      <c r="Z79" s="663">
        <f t="shared" si="2"/>
        <v>2768957.3600000008</v>
      </c>
      <c r="AA79" s="663">
        <f t="shared" si="2"/>
        <v>2541921.34</v>
      </c>
    </row>
    <row r="80" spans="1:27" x14ac:dyDescent="0.2">
      <c r="A80" s="166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664"/>
      <c r="W80" s="664"/>
      <c r="X80" s="665"/>
      <c r="Y80" s="665"/>
      <c r="Z80" s="1766">
        <f>Z79+AA79</f>
        <v>5310878.7000000011</v>
      </c>
      <c r="AA80" s="1766"/>
    </row>
  </sheetData>
  <mergeCells count="15">
    <mergeCell ref="J8:K8"/>
    <mergeCell ref="A8:A9"/>
    <mergeCell ref="B8:C8"/>
    <mergeCell ref="D8:E8"/>
    <mergeCell ref="F8:G8"/>
    <mergeCell ref="H8:I8"/>
    <mergeCell ref="Z80:AA80"/>
    <mergeCell ref="X8:Y8"/>
    <mergeCell ref="Z8:AA8"/>
    <mergeCell ref="L8:M8"/>
    <mergeCell ref="N8:O8"/>
    <mergeCell ref="P8:Q8"/>
    <mergeCell ref="R8:S8"/>
    <mergeCell ref="T8:U8"/>
    <mergeCell ref="V8:W8"/>
  </mergeCells>
  <pageMargins left="0.75" right="0.75" top="1" bottom="1" header="0" footer="0"/>
  <pageSetup paperSize="9" scale="3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-0.249977111117893"/>
    <pageSetUpPr fitToPage="1"/>
  </sheetPr>
  <dimension ref="A6:AA80"/>
  <sheetViews>
    <sheetView zoomScale="115" zoomScaleNormal="115" workbookViewId="0">
      <pane xSplit="1" ySplit="9" topLeftCell="B19" activePane="bottomRight" state="frozen"/>
      <selection pane="topRight" activeCell="B1" sqref="B1"/>
      <selection pane="bottomLeft" activeCell="A10" sqref="A10"/>
      <selection pane="bottomRight" activeCell="E28" sqref="E28"/>
    </sheetView>
  </sheetViews>
  <sheetFormatPr baseColWidth="10" defaultRowHeight="12.75" x14ac:dyDescent="0.2"/>
  <cols>
    <col min="1" max="1" width="39.28515625" style="90" customWidth="1"/>
    <col min="2" max="3" width="8.85546875" style="90" customWidth="1"/>
    <col min="4" max="5" width="8.5703125" style="90" customWidth="1"/>
    <col min="6" max="9" width="8.7109375" style="90" customWidth="1"/>
    <col min="10" max="11" width="8.28515625" style="90" customWidth="1"/>
    <col min="12" max="15" width="8.140625" style="90" customWidth="1"/>
    <col min="16" max="17" width="8" style="90" customWidth="1"/>
    <col min="18" max="19" width="9.85546875" style="90" customWidth="1"/>
    <col min="20" max="21" width="9.5703125" style="90" customWidth="1"/>
    <col min="22" max="23" width="10.28515625" style="90" customWidth="1"/>
    <col min="24" max="25" width="10.140625" style="90" customWidth="1"/>
    <col min="26" max="27" width="10" style="90" customWidth="1"/>
    <col min="28" max="269" width="10.85546875" style="90"/>
    <col min="270" max="270" width="18.85546875" style="90" customWidth="1"/>
    <col min="271" max="271" width="8" style="90" customWidth="1"/>
    <col min="272" max="272" width="8.5703125" style="90" customWidth="1"/>
    <col min="273" max="274" width="8.7109375" style="90" customWidth="1"/>
    <col min="275" max="275" width="8.28515625" style="90" customWidth="1"/>
    <col min="276" max="277" width="8.140625" style="90" customWidth="1"/>
    <col min="278" max="278" width="9.42578125" style="90" customWidth="1"/>
    <col min="279" max="279" width="10.7109375" style="90" customWidth="1"/>
    <col min="280" max="280" width="9.5703125" style="90" customWidth="1"/>
    <col min="281" max="281" width="10.28515625" style="90" customWidth="1"/>
    <col min="282" max="282" width="10.140625" style="90" customWidth="1"/>
    <col min="283" max="283" width="10" style="90" customWidth="1"/>
    <col min="284" max="525" width="10.85546875" style="90"/>
    <col min="526" max="526" width="18.85546875" style="90" customWidth="1"/>
    <col min="527" max="527" width="8" style="90" customWidth="1"/>
    <col min="528" max="528" width="8.5703125" style="90" customWidth="1"/>
    <col min="529" max="530" width="8.7109375" style="90" customWidth="1"/>
    <col min="531" max="531" width="8.28515625" style="90" customWidth="1"/>
    <col min="532" max="533" width="8.140625" style="90" customWidth="1"/>
    <col min="534" max="534" width="9.42578125" style="90" customWidth="1"/>
    <col min="535" max="535" width="10.7109375" style="90" customWidth="1"/>
    <col min="536" max="536" width="9.5703125" style="90" customWidth="1"/>
    <col min="537" max="537" width="10.28515625" style="90" customWidth="1"/>
    <col min="538" max="538" width="10.140625" style="90" customWidth="1"/>
    <col min="539" max="539" width="10" style="90" customWidth="1"/>
    <col min="540" max="781" width="10.85546875" style="90"/>
    <col min="782" max="782" width="18.85546875" style="90" customWidth="1"/>
    <col min="783" max="783" width="8" style="90" customWidth="1"/>
    <col min="784" max="784" width="8.5703125" style="90" customWidth="1"/>
    <col min="785" max="786" width="8.7109375" style="90" customWidth="1"/>
    <col min="787" max="787" width="8.28515625" style="90" customWidth="1"/>
    <col min="788" max="789" width="8.140625" style="90" customWidth="1"/>
    <col min="790" max="790" width="9.42578125" style="90" customWidth="1"/>
    <col min="791" max="791" width="10.7109375" style="90" customWidth="1"/>
    <col min="792" max="792" width="9.5703125" style="90" customWidth="1"/>
    <col min="793" max="793" width="10.28515625" style="90" customWidth="1"/>
    <col min="794" max="794" width="10.140625" style="90" customWidth="1"/>
    <col min="795" max="795" width="10" style="90" customWidth="1"/>
    <col min="796" max="1037" width="10.85546875" style="90"/>
    <col min="1038" max="1038" width="18.85546875" style="90" customWidth="1"/>
    <col min="1039" max="1039" width="8" style="90" customWidth="1"/>
    <col min="1040" max="1040" width="8.5703125" style="90" customWidth="1"/>
    <col min="1041" max="1042" width="8.7109375" style="90" customWidth="1"/>
    <col min="1043" max="1043" width="8.28515625" style="90" customWidth="1"/>
    <col min="1044" max="1045" width="8.140625" style="90" customWidth="1"/>
    <col min="1046" max="1046" width="9.42578125" style="90" customWidth="1"/>
    <col min="1047" max="1047" width="10.7109375" style="90" customWidth="1"/>
    <col min="1048" max="1048" width="9.5703125" style="90" customWidth="1"/>
    <col min="1049" max="1049" width="10.28515625" style="90" customWidth="1"/>
    <col min="1050" max="1050" width="10.140625" style="90" customWidth="1"/>
    <col min="1051" max="1051" width="10" style="90" customWidth="1"/>
    <col min="1052" max="1293" width="10.85546875" style="90"/>
    <col min="1294" max="1294" width="18.85546875" style="90" customWidth="1"/>
    <col min="1295" max="1295" width="8" style="90" customWidth="1"/>
    <col min="1296" max="1296" width="8.5703125" style="90" customWidth="1"/>
    <col min="1297" max="1298" width="8.7109375" style="90" customWidth="1"/>
    <col min="1299" max="1299" width="8.28515625" style="90" customWidth="1"/>
    <col min="1300" max="1301" width="8.140625" style="90" customWidth="1"/>
    <col min="1302" max="1302" width="9.42578125" style="90" customWidth="1"/>
    <col min="1303" max="1303" width="10.7109375" style="90" customWidth="1"/>
    <col min="1304" max="1304" width="9.5703125" style="90" customWidth="1"/>
    <col min="1305" max="1305" width="10.28515625" style="90" customWidth="1"/>
    <col min="1306" max="1306" width="10.140625" style="90" customWidth="1"/>
    <col min="1307" max="1307" width="10" style="90" customWidth="1"/>
    <col min="1308" max="1549" width="10.85546875" style="90"/>
    <col min="1550" max="1550" width="18.85546875" style="90" customWidth="1"/>
    <col min="1551" max="1551" width="8" style="90" customWidth="1"/>
    <col min="1552" max="1552" width="8.5703125" style="90" customWidth="1"/>
    <col min="1553" max="1554" width="8.7109375" style="90" customWidth="1"/>
    <col min="1555" max="1555" width="8.28515625" style="90" customWidth="1"/>
    <col min="1556" max="1557" width="8.140625" style="90" customWidth="1"/>
    <col min="1558" max="1558" width="9.42578125" style="90" customWidth="1"/>
    <col min="1559" max="1559" width="10.7109375" style="90" customWidth="1"/>
    <col min="1560" max="1560" width="9.5703125" style="90" customWidth="1"/>
    <col min="1561" max="1561" width="10.28515625" style="90" customWidth="1"/>
    <col min="1562" max="1562" width="10.140625" style="90" customWidth="1"/>
    <col min="1563" max="1563" width="10" style="90" customWidth="1"/>
    <col min="1564" max="1805" width="10.85546875" style="90"/>
    <col min="1806" max="1806" width="18.85546875" style="90" customWidth="1"/>
    <col min="1807" max="1807" width="8" style="90" customWidth="1"/>
    <col min="1808" max="1808" width="8.5703125" style="90" customWidth="1"/>
    <col min="1809" max="1810" width="8.7109375" style="90" customWidth="1"/>
    <col min="1811" max="1811" width="8.28515625" style="90" customWidth="1"/>
    <col min="1812" max="1813" width="8.140625" style="90" customWidth="1"/>
    <col min="1814" max="1814" width="9.42578125" style="90" customWidth="1"/>
    <col min="1815" max="1815" width="10.7109375" style="90" customWidth="1"/>
    <col min="1816" max="1816" width="9.5703125" style="90" customWidth="1"/>
    <col min="1817" max="1817" width="10.28515625" style="90" customWidth="1"/>
    <col min="1818" max="1818" width="10.140625" style="90" customWidth="1"/>
    <col min="1819" max="1819" width="10" style="90" customWidth="1"/>
    <col min="1820" max="2061" width="10.85546875" style="90"/>
    <col min="2062" max="2062" width="18.85546875" style="90" customWidth="1"/>
    <col min="2063" max="2063" width="8" style="90" customWidth="1"/>
    <col min="2064" max="2064" width="8.5703125" style="90" customWidth="1"/>
    <col min="2065" max="2066" width="8.7109375" style="90" customWidth="1"/>
    <col min="2067" max="2067" width="8.28515625" style="90" customWidth="1"/>
    <col min="2068" max="2069" width="8.140625" style="90" customWidth="1"/>
    <col min="2070" max="2070" width="9.42578125" style="90" customWidth="1"/>
    <col min="2071" max="2071" width="10.7109375" style="90" customWidth="1"/>
    <col min="2072" max="2072" width="9.5703125" style="90" customWidth="1"/>
    <col min="2073" max="2073" width="10.28515625" style="90" customWidth="1"/>
    <col min="2074" max="2074" width="10.140625" style="90" customWidth="1"/>
    <col min="2075" max="2075" width="10" style="90" customWidth="1"/>
    <col min="2076" max="2317" width="10.85546875" style="90"/>
    <col min="2318" max="2318" width="18.85546875" style="90" customWidth="1"/>
    <col min="2319" max="2319" width="8" style="90" customWidth="1"/>
    <col min="2320" max="2320" width="8.5703125" style="90" customWidth="1"/>
    <col min="2321" max="2322" width="8.7109375" style="90" customWidth="1"/>
    <col min="2323" max="2323" width="8.28515625" style="90" customWidth="1"/>
    <col min="2324" max="2325" width="8.140625" style="90" customWidth="1"/>
    <col min="2326" max="2326" width="9.42578125" style="90" customWidth="1"/>
    <col min="2327" max="2327" width="10.7109375" style="90" customWidth="1"/>
    <col min="2328" max="2328" width="9.5703125" style="90" customWidth="1"/>
    <col min="2329" max="2329" width="10.28515625" style="90" customWidth="1"/>
    <col min="2330" max="2330" width="10.140625" style="90" customWidth="1"/>
    <col min="2331" max="2331" width="10" style="90" customWidth="1"/>
    <col min="2332" max="2573" width="10.85546875" style="90"/>
    <col min="2574" max="2574" width="18.85546875" style="90" customWidth="1"/>
    <col min="2575" max="2575" width="8" style="90" customWidth="1"/>
    <col min="2576" max="2576" width="8.5703125" style="90" customWidth="1"/>
    <col min="2577" max="2578" width="8.7109375" style="90" customWidth="1"/>
    <col min="2579" max="2579" width="8.28515625" style="90" customWidth="1"/>
    <col min="2580" max="2581" width="8.140625" style="90" customWidth="1"/>
    <col min="2582" max="2582" width="9.42578125" style="90" customWidth="1"/>
    <col min="2583" max="2583" width="10.7109375" style="90" customWidth="1"/>
    <col min="2584" max="2584" width="9.5703125" style="90" customWidth="1"/>
    <col min="2585" max="2585" width="10.28515625" style="90" customWidth="1"/>
    <col min="2586" max="2586" width="10.140625" style="90" customWidth="1"/>
    <col min="2587" max="2587" width="10" style="90" customWidth="1"/>
    <col min="2588" max="2829" width="10.85546875" style="90"/>
    <col min="2830" max="2830" width="18.85546875" style="90" customWidth="1"/>
    <col min="2831" max="2831" width="8" style="90" customWidth="1"/>
    <col min="2832" max="2832" width="8.5703125" style="90" customWidth="1"/>
    <col min="2833" max="2834" width="8.7109375" style="90" customWidth="1"/>
    <col min="2835" max="2835" width="8.28515625" style="90" customWidth="1"/>
    <col min="2836" max="2837" width="8.140625" style="90" customWidth="1"/>
    <col min="2838" max="2838" width="9.42578125" style="90" customWidth="1"/>
    <col min="2839" max="2839" width="10.7109375" style="90" customWidth="1"/>
    <col min="2840" max="2840" width="9.5703125" style="90" customWidth="1"/>
    <col min="2841" max="2841" width="10.28515625" style="90" customWidth="1"/>
    <col min="2842" max="2842" width="10.140625" style="90" customWidth="1"/>
    <col min="2843" max="2843" width="10" style="90" customWidth="1"/>
    <col min="2844" max="3085" width="10.85546875" style="90"/>
    <col min="3086" max="3086" width="18.85546875" style="90" customWidth="1"/>
    <col min="3087" max="3087" width="8" style="90" customWidth="1"/>
    <col min="3088" max="3088" width="8.5703125" style="90" customWidth="1"/>
    <col min="3089" max="3090" width="8.7109375" style="90" customWidth="1"/>
    <col min="3091" max="3091" width="8.28515625" style="90" customWidth="1"/>
    <col min="3092" max="3093" width="8.140625" style="90" customWidth="1"/>
    <col min="3094" max="3094" width="9.42578125" style="90" customWidth="1"/>
    <col min="3095" max="3095" width="10.7109375" style="90" customWidth="1"/>
    <col min="3096" max="3096" width="9.5703125" style="90" customWidth="1"/>
    <col min="3097" max="3097" width="10.28515625" style="90" customWidth="1"/>
    <col min="3098" max="3098" width="10.140625" style="90" customWidth="1"/>
    <col min="3099" max="3099" width="10" style="90" customWidth="1"/>
    <col min="3100" max="3341" width="10.85546875" style="90"/>
    <col min="3342" max="3342" width="18.85546875" style="90" customWidth="1"/>
    <col min="3343" max="3343" width="8" style="90" customWidth="1"/>
    <col min="3344" max="3344" width="8.5703125" style="90" customWidth="1"/>
    <col min="3345" max="3346" width="8.7109375" style="90" customWidth="1"/>
    <col min="3347" max="3347" width="8.28515625" style="90" customWidth="1"/>
    <col min="3348" max="3349" width="8.140625" style="90" customWidth="1"/>
    <col min="3350" max="3350" width="9.42578125" style="90" customWidth="1"/>
    <col min="3351" max="3351" width="10.7109375" style="90" customWidth="1"/>
    <col min="3352" max="3352" width="9.5703125" style="90" customWidth="1"/>
    <col min="3353" max="3353" width="10.28515625" style="90" customWidth="1"/>
    <col min="3354" max="3354" width="10.140625" style="90" customWidth="1"/>
    <col min="3355" max="3355" width="10" style="90" customWidth="1"/>
    <col min="3356" max="3597" width="10.85546875" style="90"/>
    <col min="3598" max="3598" width="18.85546875" style="90" customWidth="1"/>
    <col min="3599" max="3599" width="8" style="90" customWidth="1"/>
    <col min="3600" max="3600" width="8.5703125" style="90" customWidth="1"/>
    <col min="3601" max="3602" width="8.7109375" style="90" customWidth="1"/>
    <col min="3603" max="3603" width="8.28515625" style="90" customWidth="1"/>
    <col min="3604" max="3605" width="8.140625" style="90" customWidth="1"/>
    <col min="3606" max="3606" width="9.42578125" style="90" customWidth="1"/>
    <col min="3607" max="3607" width="10.7109375" style="90" customWidth="1"/>
    <col min="3608" max="3608" width="9.5703125" style="90" customWidth="1"/>
    <col min="3609" max="3609" width="10.28515625" style="90" customWidth="1"/>
    <col min="3610" max="3610" width="10.140625" style="90" customWidth="1"/>
    <col min="3611" max="3611" width="10" style="90" customWidth="1"/>
    <col min="3612" max="3853" width="10.85546875" style="90"/>
    <col min="3854" max="3854" width="18.85546875" style="90" customWidth="1"/>
    <col min="3855" max="3855" width="8" style="90" customWidth="1"/>
    <col min="3856" max="3856" width="8.5703125" style="90" customWidth="1"/>
    <col min="3857" max="3858" width="8.7109375" style="90" customWidth="1"/>
    <col min="3859" max="3859" width="8.28515625" style="90" customWidth="1"/>
    <col min="3860" max="3861" width="8.140625" style="90" customWidth="1"/>
    <col min="3862" max="3862" width="9.42578125" style="90" customWidth="1"/>
    <col min="3863" max="3863" width="10.7109375" style="90" customWidth="1"/>
    <col min="3864" max="3864" width="9.5703125" style="90" customWidth="1"/>
    <col min="3865" max="3865" width="10.28515625" style="90" customWidth="1"/>
    <col min="3866" max="3866" width="10.140625" style="90" customWidth="1"/>
    <col min="3867" max="3867" width="10" style="90" customWidth="1"/>
    <col min="3868" max="4109" width="10.85546875" style="90"/>
    <col min="4110" max="4110" width="18.85546875" style="90" customWidth="1"/>
    <col min="4111" max="4111" width="8" style="90" customWidth="1"/>
    <col min="4112" max="4112" width="8.5703125" style="90" customWidth="1"/>
    <col min="4113" max="4114" width="8.7109375" style="90" customWidth="1"/>
    <col min="4115" max="4115" width="8.28515625" style="90" customWidth="1"/>
    <col min="4116" max="4117" width="8.140625" style="90" customWidth="1"/>
    <col min="4118" max="4118" width="9.42578125" style="90" customWidth="1"/>
    <col min="4119" max="4119" width="10.7109375" style="90" customWidth="1"/>
    <col min="4120" max="4120" width="9.5703125" style="90" customWidth="1"/>
    <col min="4121" max="4121" width="10.28515625" style="90" customWidth="1"/>
    <col min="4122" max="4122" width="10.140625" style="90" customWidth="1"/>
    <col min="4123" max="4123" width="10" style="90" customWidth="1"/>
    <col min="4124" max="4365" width="10.85546875" style="90"/>
    <col min="4366" max="4366" width="18.85546875" style="90" customWidth="1"/>
    <col min="4367" max="4367" width="8" style="90" customWidth="1"/>
    <col min="4368" max="4368" width="8.5703125" style="90" customWidth="1"/>
    <col min="4369" max="4370" width="8.7109375" style="90" customWidth="1"/>
    <col min="4371" max="4371" width="8.28515625" style="90" customWidth="1"/>
    <col min="4372" max="4373" width="8.140625" style="90" customWidth="1"/>
    <col min="4374" max="4374" width="9.42578125" style="90" customWidth="1"/>
    <col min="4375" max="4375" width="10.7109375" style="90" customWidth="1"/>
    <col min="4376" max="4376" width="9.5703125" style="90" customWidth="1"/>
    <col min="4377" max="4377" width="10.28515625" style="90" customWidth="1"/>
    <col min="4378" max="4378" width="10.140625" style="90" customWidth="1"/>
    <col min="4379" max="4379" width="10" style="90" customWidth="1"/>
    <col min="4380" max="4621" width="10.85546875" style="90"/>
    <col min="4622" max="4622" width="18.85546875" style="90" customWidth="1"/>
    <col min="4623" max="4623" width="8" style="90" customWidth="1"/>
    <col min="4624" max="4624" width="8.5703125" style="90" customWidth="1"/>
    <col min="4625" max="4626" width="8.7109375" style="90" customWidth="1"/>
    <col min="4627" max="4627" width="8.28515625" style="90" customWidth="1"/>
    <col min="4628" max="4629" width="8.140625" style="90" customWidth="1"/>
    <col min="4630" max="4630" width="9.42578125" style="90" customWidth="1"/>
    <col min="4631" max="4631" width="10.7109375" style="90" customWidth="1"/>
    <col min="4632" max="4632" width="9.5703125" style="90" customWidth="1"/>
    <col min="4633" max="4633" width="10.28515625" style="90" customWidth="1"/>
    <col min="4634" max="4634" width="10.140625" style="90" customWidth="1"/>
    <col min="4635" max="4635" width="10" style="90" customWidth="1"/>
    <col min="4636" max="4877" width="10.85546875" style="90"/>
    <col min="4878" max="4878" width="18.85546875" style="90" customWidth="1"/>
    <col min="4879" max="4879" width="8" style="90" customWidth="1"/>
    <col min="4880" max="4880" width="8.5703125" style="90" customWidth="1"/>
    <col min="4881" max="4882" width="8.7109375" style="90" customWidth="1"/>
    <col min="4883" max="4883" width="8.28515625" style="90" customWidth="1"/>
    <col min="4884" max="4885" width="8.140625" style="90" customWidth="1"/>
    <col min="4886" max="4886" width="9.42578125" style="90" customWidth="1"/>
    <col min="4887" max="4887" width="10.7109375" style="90" customWidth="1"/>
    <col min="4888" max="4888" width="9.5703125" style="90" customWidth="1"/>
    <col min="4889" max="4889" width="10.28515625" style="90" customWidth="1"/>
    <col min="4890" max="4890" width="10.140625" style="90" customWidth="1"/>
    <col min="4891" max="4891" width="10" style="90" customWidth="1"/>
    <col min="4892" max="5133" width="10.85546875" style="90"/>
    <col min="5134" max="5134" width="18.85546875" style="90" customWidth="1"/>
    <col min="5135" max="5135" width="8" style="90" customWidth="1"/>
    <col min="5136" max="5136" width="8.5703125" style="90" customWidth="1"/>
    <col min="5137" max="5138" width="8.7109375" style="90" customWidth="1"/>
    <col min="5139" max="5139" width="8.28515625" style="90" customWidth="1"/>
    <col min="5140" max="5141" width="8.140625" style="90" customWidth="1"/>
    <col min="5142" max="5142" width="9.42578125" style="90" customWidth="1"/>
    <col min="5143" max="5143" width="10.7109375" style="90" customWidth="1"/>
    <col min="5144" max="5144" width="9.5703125" style="90" customWidth="1"/>
    <col min="5145" max="5145" width="10.28515625" style="90" customWidth="1"/>
    <col min="5146" max="5146" width="10.140625" style="90" customWidth="1"/>
    <col min="5147" max="5147" width="10" style="90" customWidth="1"/>
    <col min="5148" max="5389" width="10.85546875" style="90"/>
    <col min="5390" max="5390" width="18.85546875" style="90" customWidth="1"/>
    <col min="5391" max="5391" width="8" style="90" customWidth="1"/>
    <col min="5392" max="5392" width="8.5703125" style="90" customWidth="1"/>
    <col min="5393" max="5394" width="8.7109375" style="90" customWidth="1"/>
    <col min="5395" max="5395" width="8.28515625" style="90" customWidth="1"/>
    <col min="5396" max="5397" width="8.140625" style="90" customWidth="1"/>
    <col min="5398" max="5398" width="9.42578125" style="90" customWidth="1"/>
    <col min="5399" max="5399" width="10.7109375" style="90" customWidth="1"/>
    <col min="5400" max="5400" width="9.5703125" style="90" customWidth="1"/>
    <col min="5401" max="5401" width="10.28515625" style="90" customWidth="1"/>
    <col min="5402" max="5402" width="10.140625" style="90" customWidth="1"/>
    <col min="5403" max="5403" width="10" style="90" customWidth="1"/>
    <col min="5404" max="5645" width="10.85546875" style="90"/>
    <col min="5646" max="5646" width="18.85546875" style="90" customWidth="1"/>
    <col min="5647" max="5647" width="8" style="90" customWidth="1"/>
    <col min="5648" max="5648" width="8.5703125" style="90" customWidth="1"/>
    <col min="5649" max="5650" width="8.7109375" style="90" customWidth="1"/>
    <col min="5651" max="5651" width="8.28515625" style="90" customWidth="1"/>
    <col min="5652" max="5653" width="8.140625" style="90" customWidth="1"/>
    <col min="5654" max="5654" width="9.42578125" style="90" customWidth="1"/>
    <col min="5655" max="5655" width="10.7109375" style="90" customWidth="1"/>
    <col min="5656" max="5656" width="9.5703125" style="90" customWidth="1"/>
    <col min="5657" max="5657" width="10.28515625" style="90" customWidth="1"/>
    <col min="5658" max="5658" width="10.140625" style="90" customWidth="1"/>
    <col min="5659" max="5659" width="10" style="90" customWidth="1"/>
    <col min="5660" max="5901" width="10.85546875" style="90"/>
    <col min="5902" max="5902" width="18.85546875" style="90" customWidth="1"/>
    <col min="5903" max="5903" width="8" style="90" customWidth="1"/>
    <col min="5904" max="5904" width="8.5703125" style="90" customWidth="1"/>
    <col min="5905" max="5906" width="8.7109375" style="90" customWidth="1"/>
    <col min="5907" max="5907" width="8.28515625" style="90" customWidth="1"/>
    <col min="5908" max="5909" width="8.140625" style="90" customWidth="1"/>
    <col min="5910" max="5910" width="9.42578125" style="90" customWidth="1"/>
    <col min="5911" max="5911" width="10.7109375" style="90" customWidth="1"/>
    <col min="5912" max="5912" width="9.5703125" style="90" customWidth="1"/>
    <col min="5913" max="5913" width="10.28515625" style="90" customWidth="1"/>
    <col min="5914" max="5914" width="10.140625" style="90" customWidth="1"/>
    <col min="5915" max="5915" width="10" style="90" customWidth="1"/>
    <col min="5916" max="6157" width="10.85546875" style="90"/>
    <col min="6158" max="6158" width="18.85546875" style="90" customWidth="1"/>
    <col min="6159" max="6159" width="8" style="90" customWidth="1"/>
    <col min="6160" max="6160" width="8.5703125" style="90" customWidth="1"/>
    <col min="6161" max="6162" width="8.7109375" style="90" customWidth="1"/>
    <col min="6163" max="6163" width="8.28515625" style="90" customWidth="1"/>
    <col min="6164" max="6165" width="8.140625" style="90" customWidth="1"/>
    <col min="6166" max="6166" width="9.42578125" style="90" customWidth="1"/>
    <col min="6167" max="6167" width="10.7109375" style="90" customWidth="1"/>
    <col min="6168" max="6168" width="9.5703125" style="90" customWidth="1"/>
    <col min="6169" max="6169" width="10.28515625" style="90" customWidth="1"/>
    <col min="6170" max="6170" width="10.140625" style="90" customWidth="1"/>
    <col min="6171" max="6171" width="10" style="90" customWidth="1"/>
    <col min="6172" max="6413" width="10.85546875" style="90"/>
    <col min="6414" max="6414" width="18.85546875" style="90" customWidth="1"/>
    <col min="6415" max="6415" width="8" style="90" customWidth="1"/>
    <col min="6416" max="6416" width="8.5703125" style="90" customWidth="1"/>
    <col min="6417" max="6418" width="8.7109375" style="90" customWidth="1"/>
    <col min="6419" max="6419" width="8.28515625" style="90" customWidth="1"/>
    <col min="6420" max="6421" width="8.140625" style="90" customWidth="1"/>
    <col min="6422" max="6422" width="9.42578125" style="90" customWidth="1"/>
    <col min="6423" max="6423" width="10.7109375" style="90" customWidth="1"/>
    <col min="6424" max="6424" width="9.5703125" style="90" customWidth="1"/>
    <col min="6425" max="6425" width="10.28515625" style="90" customWidth="1"/>
    <col min="6426" max="6426" width="10.140625" style="90" customWidth="1"/>
    <col min="6427" max="6427" width="10" style="90" customWidth="1"/>
    <col min="6428" max="6669" width="10.85546875" style="90"/>
    <col min="6670" max="6670" width="18.85546875" style="90" customWidth="1"/>
    <col min="6671" max="6671" width="8" style="90" customWidth="1"/>
    <col min="6672" max="6672" width="8.5703125" style="90" customWidth="1"/>
    <col min="6673" max="6674" width="8.7109375" style="90" customWidth="1"/>
    <col min="6675" max="6675" width="8.28515625" style="90" customWidth="1"/>
    <col min="6676" max="6677" width="8.140625" style="90" customWidth="1"/>
    <col min="6678" max="6678" width="9.42578125" style="90" customWidth="1"/>
    <col min="6679" max="6679" width="10.7109375" style="90" customWidth="1"/>
    <col min="6680" max="6680" width="9.5703125" style="90" customWidth="1"/>
    <col min="6681" max="6681" width="10.28515625" style="90" customWidth="1"/>
    <col min="6682" max="6682" width="10.140625" style="90" customWidth="1"/>
    <col min="6683" max="6683" width="10" style="90" customWidth="1"/>
    <col min="6684" max="6925" width="10.85546875" style="90"/>
    <col min="6926" max="6926" width="18.85546875" style="90" customWidth="1"/>
    <col min="6927" max="6927" width="8" style="90" customWidth="1"/>
    <col min="6928" max="6928" width="8.5703125" style="90" customWidth="1"/>
    <col min="6929" max="6930" width="8.7109375" style="90" customWidth="1"/>
    <col min="6931" max="6931" width="8.28515625" style="90" customWidth="1"/>
    <col min="6932" max="6933" width="8.140625" style="90" customWidth="1"/>
    <col min="6934" max="6934" width="9.42578125" style="90" customWidth="1"/>
    <col min="6935" max="6935" width="10.7109375" style="90" customWidth="1"/>
    <col min="6936" max="6936" width="9.5703125" style="90" customWidth="1"/>
    <col min="6937" max="6937" width="10.28515625" style="90" customWidth="1"/>
    <col min="6938" max="6938" width="10.140625" style="90" customWidth="1"/>
    <col min="6939" max="6939" width="10" style="90" customWidth="1"/>
    <col min="6940" max="7181" width="10.85546875" style="90"/>
    <col min="7182" max="7182" width="18.85546875" style="90" customWidth="1"/>
    <col min="7183" max="7183" width="8" style="90" customWidth="1"/>
    <col min="7184" max="7184" width="8.5703125" style="90" customWidth="1"/>
    <col min="7185" max="7186" width="8.7109375" style="90" customWidth="1"/>
    <col min="7187" max="7187" width="8.28515625" style="90" customWidth="1"/>
    <col min="7188" max="7189" width="8.140625" style="90" customWidth="1"/>
    <col min="7190" max="7190" width="9.42578125" style="90" customWidth="1"/>
    <col min="7191" max="7191" width="10.7109375" style="90" customWidth="1"/>
    <col min="7192" max="7192" width="9.5703125" style="90" customWidth="1"/>
    <col min="7193" max="7193" width="10.28515625" style="90" customWidth="1"/>
    <col min="7194" max="7194" width="10.140625" style="90" customWidth="1"/>
    <col min="7195" max="7195" width="10" style="90" customWidth="1"/>
    <col min="7196" max="7437" width="10.85546875" style="90"/>
    <col min="7438" max="7438" width="18.85546875" style="90" customWidth="1"/>
    <col min="7439" max="7439" width="8" style="90" customWidth="1"/>
    <col min="7440" max="7440" width="8.5703125" style="90" customWidth="1"/>
    <col min="7441" max="7442" width="8.7109375" style="90" customWidth="1"/>
    <col min="7443" max="7443" width="8.28515625" style="90" customWidth="1"/>
    <col min="7444" max="7445" width="8.140625" style="90" customWidth="1"/>
    <col min="7446" max="7446" width="9.42578125" style="90" customWidth="1"/>
    <col min="7447" max="7447" width="10.7109375" style="90" customWidth="1"/>
    <col min="7448" max="7448" width="9.5703125" style="90" customWidth="1"/>
    <col min="7449" max="7449" width="10.28515625" style="90" customWidth="1"/>
    <col min="7450" max="7450" width="10.140625" style="90" customWidth="1"/>
    <col min="7451" max="7451" width="10" style="90" customWidth="1"/>
    <col min="7452" max="7693" width="10.85546875" style="90"/>
    <col min="7694" max="7694" width="18.85546875" style="90" customWidth="1"/>
    <col min="7695" max="7695" width="8" style="90" customWidth="1"/>
    <col min="7696" max="7696" width="8.5703125" style="90" customWidth="1"/>
    <col min="7697" max="7698" width="8.7109375" style="90" customWidth="1"/>
    <col min="7699" max="7699" width="8.28515625" style="90" customWidth="1"/>
    <col min="7700" max="7701" width="8.140625" style="90" customWidth="1"/>
    <col min="7702" max="7702" width="9.42578125" style="90" customWidth="1"/>
    <col min="7703" max="7703" width="10.7109375" style="90" customWidth="1"/>
    <col min="7704" max="7704" width="9.5703125" style="90" customWidth="1"/>
    <col min="7705" max="7705" width="10.28515625" style="90" customWidth="1"/>
    <col min="7706" max="7706" width="10.140625" style="90" customWidth="1"/>
    <col min="7707" max="7707" width="10" style="90" customWidth="1"/>
    <col min="7708" max="7949" width="10.85546875" style="90"/>
    <col min="7950" max="7950" width="18.85546875" style="90" customWidth="1"/>
    <col min="7951" max="7951" width="8" style="90" customWidth="1"/>
    <col min="7952" max="7952" width="8.5703125" style="90" customWidth="1"/>
    <col min="7953" max="7954" width="8.7109375" style="90" customWidth="1"/>
    <col min="7955" max="7955" width="8.28515625" style="90" customWidth="1"/>
    <col min="7956" max="7957" width="8.140625" style="90" customWidth="1"/>
    <col min="7958" max="7958" width="9.42578125" style="90" customWidth="1"/>
    <col min="7959" max="7959" width="10.7109375" style="90" customWidth="1"/>
    <col min="7960" max="7960" width="9.5703125" style="90" customWidth="1"/>
    <col min="7961" max="7961" width="10.28515625" style="90" customWidth="1"/>
    <col min="7962" max="7962" width="10.140625" style="90" customWidth="1"/>
    <col min="7963" max="7963" width="10" style="90" customWidth="1"/>
    <col min="7964" max="8205" width="10.85546875" style="90"/>
    <col min="8206" max="8206" width="18.85546875" style="90" customWidth="1"/>
    <col min="8207" max="8207" width="8" style="90" customWidth="1"/>
    <col min="8208" max="8208" width="8.5703125" style="90" customWidth="1"/>
    <col min="8209" max="8210" width="8.7109375" style="90" customWidth="1"/>
    <col min="8211" max="8211" width="8.28515625" style="90" customWidth="1"/>
    <col min="8212" max="8213" width="8.140625" style="90" customWidth="1"/>
    <col min="8214" max="8214" width="9.42578125" style="90" customWidth="1"/>
    <col min="8215" max="8215" width="10.7109375" style="90" customWidth="1"/>
    <col min="8216" max="8216" width="9.5703125" style="90" customWidth="1"/>
    <col min="8217" max="8217" width="10.28515625" style="90" customWidth="1"/>
    <col min="8218" max="8218" width="10.140625" style="90" customWidth="1"/>
    <col min="8219" max="8219" width="10" style="90" customWidth="1"/>
    <col min="8220" max="8461" width="10.85546875" style="90"/>
    <col min="8462" max="8462" width="18.85546875" style="90" customWidth="1"/>
    <col min="8463" max="8463" width="8" style="90" customWidth="1"/>
    <col min="8464" max="8464" width="8.5703125" style="90" customWidth="1"/>
    <col min="8465" max="8466" width="8.7109375" style="90" customWidth="1"/>
    <col min="8467" max="8467" width="8.28515625" style="90" customWidth="1"/>
    <col min="8468" max="8469" width="8.140625" style="90" customWidth="1"/>
    <col min="8470" max="8470" width="9.42578125" style="90" customWidth="1"/>
    <col min="8471" max="8471" width="10.7109375" style="90" customWidth="1"/>
    <col min="8472" max="8472" width="9.5703125" style="90" customWidth="1"/>
    <col min="8473" max="8473" width="10.28515625" style="90" customWidth="1"/>
    <col min="8474" max="8474" width="10.140625" style="90" customWidth="1"/>
    <col min="8475" max="8475" width="10" style="90" customWidth="1"/>
    <col min="8476" max="8717" width="10.85546875" style="90"/>
    <col min="8718" max="8718" width="18.85546875" style="90" customWidth="1"/>
    <col min="8719" max="8719" width="8" style="90" customWidth="1"/>
    <col min="8720" max="8720" width="8.5703125" style="90" customWidth="1"/>
    <col min="8721" max="8722" width="8.7109375" style="90" customWidth="1"/>
    <col min="8723" max="8723" width="8.28515625" style="90" customWidth="1"/>
    <col min="8724" max="8725" width="8.140625" style="90" customWidth="1"/>
    <col min="8726" max="8726" width="9.42578125" style="90" customWidth="1"/>
    <col min="8727" max="8727" width="10.7109375" style="90" customWidth="1"/>
    <col min="8728" max="8728" width="9.5703125" style="90" customWidth="1"/>
    <col min="8729" max="8729" width="10.28515625" style="90" customWidth="1"/>
    <col min="8730" max="8730" width="10.140625" style="90" customWidth="1"/>
    <col min="8731" max="8731" width="10" style="90" customWidth="1"/>
    <col min="8732" max="8973" width="10.85546875" style="90"/>
    <col min="8974" max="8974" width="18.85546875" style="90" customWidth="1"/>
    <col min="8975" max="8975" width="8" style="90" customWidth="1"/>
    <col min="8976" max="8976" width="8.5703125" style="90" customWidth="1"/>
    <col min="8977" max="8978" width="8.7109375" style="90" customWidth="1"/>
    <col min="8979" max="8979" width="8.28515625" style="90" customWidth="1"/>
    <col min="8980" max="8981" width="8.140625" style="90" customWidth="1"/>
    <col min="8982" max="8982" width="9.42578125" style="90" customWidth="1"/>
    <col min="8983" max="8983" width="10.7109375" style="90" customWidth="1"/>
    <col min="8984" max="8984" width="9.5703125" style="90" customWidth="1"/>
    <col min="8985" max="8985" width="10.28515625" style="90" customWidth="1"/>
    <col min="8986" max="8986" width="10.140625" style="90" customWidth="1"/>
    <col min="8987" max="8987" width="10" style="90" customWidth="1"/>
    <col min="8988" max="9229" width="10.85546875" style="90"/>
    <col min="9230" max="9230" width="18.85546875" style="90" customWidth="1"/>
    <col min="9231" max="9231" width="8" style="90" customWidth="1"/>
    <col min="9232" max="9232" width="8.5703125" style="90" customWidth="1"/>
    <col min="9233" max="9234" width="8.7109375" style="90" customWidth="1"/>
    <col min="9235" max="9235" width="8.28515625" style="90" customWidth="1"/>
    <col min="9236" max="9237" width="8.140625" style="90" customWidth="1"/>
    <col min="9238" max="9238" width="9.42578125" style="90" customWidth="1"/>
    <col min="9239" max="9239" width="10.7109375" style="90" customWidth="1"/>
    <col min="9240" max="9240" width="9.5703125" style="90" customWidth="1"/>
    <col min="9241" max="9241" width="10.28515625" style="90" customWidth="1"/>
    <col min="9242" max="9242" width="10.140625" style="90" customWidth="1"/>
    <col min="9243" max="9243" width="10" style="90" customWidth="1"/>
    <col min="9244" max="9485" width="10.85546875" style="90"/>
    <col min="9486" max="9486" width="18.85546875" style="90" customWidth="1"/>
    <col min="9487" max="9487" width="8" style="90" customWidth="1"/>
    <col min="9488" max="9488" width="8.5703125" style="90" customWidth="1"/>
    <col min="9489" max="9490" width="8.7109375" style="90" customWidth="1"/>
    <col min="9491" max="9491" width="8.28515625" style="90" customWidth="1"/>
    <col min="9492" max="9493" width="8.140625" style="90" customWidth="1"/>
    <col min="9494" max="9494" width="9.42578125" style="90" customWidth="1"/>
    <col min="9495" max="9495" width="10.7109375" style="90" customWidth="1"/>
    <col min="9496" max="9496" width="9.5703125" style="90" customWidth="1"/>
    <col min="9497" max="9497" width="10.28515625" style="90" customWidth="1"/>
    <col min="9498" max="9498" width="10.140625" style="90" customWidth="1"/>
    <col min="9499" max="9499" width="10" style="90" customWidth="1"/>
    <col min="9500" max="9741" width="10.85546875" style="90"/>
    <col min="9742" max="9742" width="18.85546875" style="90" customWidth="1"/>
    <col min="9743" max="9743" width="8" style="90" customWidth="1"/>
    <col min="9744" max="9744" width="8.5703125" style="90" customWidth="1"/>
    <col min="9745" max="9746" width="8.7109375" style="90" customWidth="1"/>
    <col min="9747" max="9747" width="8.28515625" style="90" customWidth="1"/>
    <col min="9748" max="9749" width="8.140625" style="90" customWidth="1"/>
    <col min="9750" max="9750" width="9.42578125" style="90" customWidth="1"/>
    <col min="9751" max="9751" width="10.7109375" style="90" customWidth="1"/>
    <col min="9752" max="9752" width="9.5703125" style="90" customWidth="1"/>
    <col min="9753" max="9753" width="10.28515625" style="90" customWidth="1"/>
    <col min="9754" max="9754" width="10.140625" style="90" customWidth="1"/>
    <col min="9755" max="9755" width="10" style="90" customWidth="1"/>
    <col min="9756" max="9997" width="10.85546875" style="90"/>
    <col min="9998" max="9998" width="18.85546875" style="90" customWidth="1"/>
    <col min="9999" max="9999" width="8" style="90" customWidth="1"/>
    <col min="10000" max="10000" width="8.5703125" style="90" customWidth="1"/>
    <col min="10001" max="10002" width="8.7109375" style="90" customWidth="1"/>
    <col min="10003" max="10003" width="8.28515625" style="90" customWidth="1"/>
    <col min="10004" max="10005" width="8.140625" style="90" customWidth="1"/>
    <col min="10006" max="10006" width="9.42578125" style="90" customWidth="1"/>
    <col min="10007" max="10007" width="10.7109375" style="90" customWidth="1"/>
    <col min="10008" max="10008" width="9.5703125" style="90" customWidth="1"/>
    <col min="10009" max="10009" width="10.28515625" style="90" customWidth="1"/>
    <col min="10010" max="10010" width="10.140625" style="90" customWidth="1"/>
    <col min="10011" max="10011" width="10" style="90" customWidth="1"/>
    <col min="10012" max="10253" width="10.85546875" style="90"/>
    <col min="10254" max="10254" width="18.85546875" style="90" customWidth="1"/>
    <col min="10255" max="10255" width="8" style="90" customWidth="1"/>
    <col min="10256" max="10256" width="8.5703125" style="90" customWidth="1"/>
    <col min="10257" max="10258" width="8.7109375" style="90" customWidth="1"/>
    <col min="10259" max="10259" width="8.28515625" style="90" customWidth="1"/>
    <col min="10260" max="10261" width="8.140625" style="90" customWidth="1"/>
    <col min="10262" max="10262" width="9.42578125" style="90" customWidth="1"/>
    <col min="10263" max="10263" width="10.7109375" style="90" customWidth="1"/>
    <col min="10264" max="10264" width="9.5703125" style="90" customWidth="1"/>
    <col min="10265" max="10265" width="10.28515625" style="90" customWidth="1"/>
    <col min="10266" max="10266" width="10.140625" style="90" customWidth="1"/>
    <col min="10267" max="10267" width="10" style="90" customWidth="1"/>
    <col min="10268" max="10509" width="10.85546875" style="90"/>
    <col min="10510" max="10510" width="18.85546875" style="90" customWidth="1"/>
    <col min="10511" max="10511" width="8" style="90" customWidth="1"/>
    <col min="10512" max="10512" width="8.5703125" style="90" customWidth="1"/>
    <col min="10513" max="10514" width="8.7109375" style="90" customWidth="1"/>
    <col min="10515" max="10515" width="8.28515625" style="90" customWidth="1"/>
    <col min="10516" max="10517" width="8.140625" style="90" customWidth="1"/>
    <col min="10518" max="10518" width="9.42578125" style="90" customWidth="1"/>
    <col min="10519" max="10519" width="10.7109375" style="90" customWidth="1"/>
    <col min="10520" max="10520" width="9.5703125" style="90" customWidth="1"/>
    <col min="10521" max="10521" width="10.28515625" style="90" customWidth="1"/>
    <col min="10522" max="10522" width="10.140625" style="90" customWidth="1"/>
    <col min="10523" max="10523" width="10" style="90" customWidth="1"/>
    <col min="10524" max="10765" width="10.85546875" style="90"/>
    <col min="10766" max="10766" width="18.85546875" style="90" customWidth="1"/>
    <col min="10767" max="10767" width="8" style="90" customWidth="1"/>
    <col min="10768" max="10768" width="8.5703125" style="90" customWidth="1"/>
    <col min="10769" max="10770" width="8.7109375" style="90" customWidth="1"/>
    <col min="10771" max="10771" width="8.28515625" style="90" customWidth="1"/>
    <col min="10772" max="10773" width="8.140625" style="90" customWidth="1"/>
    <col min="10774" max="10774" width="9.42578125" style="90" customWidth="1"/>
    <col min="10775" max="10775" width="10.7109375" style="90" customWidth="1"/>
    <col min="10776" max="10776" width="9.5703125" style="90" customWidth="1"/>
    <col min="10777" max="10777" width="10.28515625" style="90" customWidth="1"/>
    <col min="10778" max="10778" width="10.140625" style="90" customWidth="1"/>
    <col min="10779" max="10779" width="10" style="90" customWidth="1"/>
    <col min="10780" max="11021" width="10.85546875" style="90"/>
    <col min="11022" max="11022" width="18.85546875" style="90" customWidth="1"/>
    <col min="11023" max="11023" width="8" style="90" customWidth="1"/>
    <col min="11024" max="11024" width="8.5703125" style="90" customWidth="1"/>
    <col min="11025" max="11026" width="8.7109375" style="90" customWidth="1"/>
    <col min="11027" max="11027" width="8.28515625" style="90" customWidth="1"/>
    <col min="11028" max="11029" width="8.140625" style="90" customWidth="1"/>
    <col min="11030" max="11030" width="9.42578125" style="90" customWidth="1"/>
    <col min="11031" max="11031" width="10.7109375" style="90" customWidth="1"/>
    <col min="11032" max="11032" width="9.5703125" style="90" customWidth="1"/>
    <col min="11033" max="11033" width="10.28515625" style="90" customWidth="1"/>
    <col min="11034" max="11034" width="10.140625" style="90" customWidth="1"/>
    <col min="11035" max="11035" width="10" style="90" customWidth="1"/>
    <col min="11036" max="11277" width="10.85546875" style="90"/>
    <col min="11278" max="11278" width="18.85546875" style="90" customWidth="1"/>
    <col min="11279" max="11279" width="8" style="90" customWidth="1"/>
    <col min="11280" max="11280" width="8.5703125" style="90" customWidth="1"/>
    <col min="11281" max="11282" width="8.7109375" style="90" customWidth="1"/>
    <col min="11283" max="11283" width="8.28515625" style="90" customWidth="1"/>
    <col min="11284" max="11285" width="8.140625" style="90" customWidth="1"/>
    <col min="11286" max="11286" width="9.42578125" style="90" customWidth="1"/>
    <col min="11287" max="11287" width="10.7109375" style="90" customWidth="1"/>
    <col min="11288" max="11288" width="9.5703125" style="90" customWidth="1"/>
    <col min="11289" max="11289" width="10.28515625" style="90" customWidth="1"/>
    <col min="11290" max="11290" width="10.140625" style="90" customWidth="1"/>
    <col min="11291" max="11291" width="10" style="90" customWidth="1"/>
    <col min="11292" max="11533" width="10.85546875" style="90"/>
    <col min="11534" max="11534" width="18.85546875" style="90" customWidth="1"/>
    <col min="11535" max="11535" width="8" style="90" customWidth="1"/>
    <col min="11536" max="11536" width="8.5703125" style="90" customWidth="1"/>
    <col min="11537" max="11538" width="8.7109375" style="90" customWidth="1"/>
    <col min="11539" max="11539" width="8.28515625" style="90" customWidth="1"/>
    <col min="11540" max="11541" width="8.140625" style="90" customWidth="1"/>
    <col min="11542" max="11542" width="9.42578125" style="90" customWidth="1"/>
    <col min="11543" max="11543" width="10.7109375" style="90" customWidth="1"/>
    <col min="11544" max="11544" width="9.5703125" style="90" customWidth="1"/>
    <col min="11545" max="11545" width="10.28515625" style="90" customWidth="1"/>
    <col min="11546" max="11546" width="10.140625" style="90" customWidth="1"/>
    <col min="11547" max="11547" width="10" style="90" customWidth="1"/>
    <col min="11548" max="11789" width="10.85546875" style="90"/>
    <col min="11790" max="11790" width="18.85546875" style="90" customWidth="1"/>
    <col min="11791" max="11791" width="8" style="90" customWidth="1"/>
    <col min="11792" max="11792" width="8.5703125" style="90" customWidth="1"/>
    <col min="11793" max="11794" width="8.7109375" style="90" customWidth="1"/>
    <col min="11795" max="11795" width="8.28515625" style="90" customWidth="1"/>
    <col min="11796" max="11797" width="8.140625" style="90" customWidth="1"/>
    <col min="11798" max="11798" width="9.42578125" style="90" customWidth="1"/>
    <col min="11799" max="11799" width="10.7109375" style="90" customWidth="1"/>
    <col min="11800" max="11800" width="9.5703125" style="90" customWidth="1"/>
    <col min="11801" max="11801" width="10.28515625" style="90" customWidth="1"/>
    <col min="11802" max="11802" width="10.140625" style="90" customWidth="1"/>
    <col min="11803" max="11803" width="10" style="90" customWidth="1"/>
    <col min="11804" max="12045" width="10.85546875" style="90"/>
    <col min="12046" max="12046" width="18.85546875" style="90" customWidth="1"/>
    <col min="12047" max="12047" width="8" style="90" customWidth="1"/>
    <col min="12048" max="12048" width="8.5703125" style="90" customWidth="1"/>
    <col min="12049" max="12050" width="8.7109375" style="90" customWidth="1"/>
    <col min="12051" max="12051" width="8.28515625" style="90" customWidth="1"/>
    <col min="12052" max="12053" width="8.140625" style="90" customWidth="1"/>
    <col min="12054" max="12054" width="9.42578125" style="90" customWidth="1"/>
    <col min="12055" max="12055" width="10.7109375" style="90" customWidth="1"/>
    <col min="12056" max="12056" width="9.5703125" style="90" customWidth="1"/>
    <col min="12057" max="12057" width="10.28515625" style="90" customWidth="1"/>
    <col min="12058" max="12058" width="10.140625" style="90" customWidth="1"/>
    <col min="12059" max="12059" width="10" style="90" customWidth="1"/>
    <col min="12060" max="12301" width="10.85546875" style="90"/>
    <col min="12302" max="12302" width="18.85546875" style="90" customWidth="1"/>
    <col min="12303" max="12303" width="8" style="90" customWidth="1"/>
    <col min="12304" max="12304" width="8.5703125" style="90" customWidth="1"/>
    <col min="12305" max="12306" width="8.7109375" style="90" customWidth="1"/>
    <col min="12307" max="12307" width="8.28515625" style="90" customWidth="1"/>
    <col min="12308" max="12309" width="8.140625" style="90" customWidth="1"/>
    <col min="12310" max="12310" width="9.42578125" style="90" customWidth="1"/>
    <col min="12311" max="12311" width="10.7109375" style="90" customWidth="1"/>
    <col min="12312" max="12312" width="9.5703125" style="90" customWidth="1"/>
    <col min="12313" max="12313" width="10.28515625" style="90" customWidth="1"/>
    <col min="12314" max="12314" width="10.140625" style="90" customWidth="1"/>
    <col min="12315" max="12315" width="10" style="90" customWidth="1"/>
    <col min="12316" max="12557" width="10.85546875" style="90"/>
    <col min="12558" max="12558" width="18.85546875" style="90" customWidth="1"/>
    <col min="12559" max="12559" width="8" style="90" customWidth="1"/>
    <col min="12560" max="12560" width="8.5703125" style="90" customWidth="1"/>
    <col min="12561" max="12562" width="8.7109375" style="90" customWidth="1"/>
    <col min="12563" max="12563" width="8.28515625" style="90" customWidth="1"/>
    <col min="12564" max="12565" width="8.140625" style="90" customWidth="1"/>
    <col min="12566" max="12566" width="9.42578125" style="90" customWidth="1"/>
    <col min="12567" max="12567" width="10.7109375" style="90" customWidth="1"/>
    <col min="12568" max="12568" width="9.5703125" style="90" customWidth="1"/>
    <col min="12569" max="12569" width="10.28515625" style="90" customWidth="1"/>
    <col min="12570" max="12570" width="10.140625" style="90" customWidth="1"/>
    <col min="12571" max="12571" width="10" style="90" customWidth="1"/>
    <col min="12572" max="12813" width="10.85546875" style="90"/>
    <col min="12814" max="12814" width="18.85546875" style="90" customWidth="1"/>
    <col min="12815" max="12815" width="8" style="90" customWidth="1"/>
    <col min="12816" max="12816" width="8.5703125" style="90" customWidth="1"/>
    <col min="12817" max="12818" width="8.7109375" style="90" customWidth="1"/>
    <col min="12819" max="12819" width="8.28515625" style="90" customWidth="1"/>
    <col min="12820" max="12821" width="8.140625" style="90" customWidth="1"/>
    <col min="12822" max="12822" width="9.42578125" style="90" customWidth="1"/>
    <col min="12823" max="12823" width="10.7109375" style="90" customWidth="1"/>
    <col min="12824" max="12824" width="9.5703125" style="90" customWidth="1"/>
    <col min="12825" max="12825" width="10.28515625" style="90" customWidth="1"/>
    <col min="12826" max="12826" width="10.140625" style="90" customWidth="1"/>
    <col min="12827" max="12827" width="10" style="90" customWidth="1"/>
    <col min="12828" max="13069" width="10.85546875" style="90"/>
    <col min="13070" max="13070" width="18.85546875" style="90" customWidth="1"/>
    <col min="13071" max="13071" width="8" style="90" customWidth="1"/>
    <col min="13072" max="13072" width="8.5703125" style="90" customWidth="1"/>
    <col min="13073" max="13074" width="8.7109375" style="90" customWidth="1"/>
    <col min="13075" max="13075" width="8.28515625" style="90" customWidth="1"/>
    <col min="13076" max="13077" width="8.140625" style="90" customWidth="1"/>
    <col min="13078" max="13078" width="9.42578125" style="90" customWidth="1"/>
    <col min="13079" max="13079" width="10.7109375" style="90" customWidth="1"/>
    <col min="13080" max="13080" width="9.5703125" style="90" customWidth="1"/>
    <col min="13081" max="13081" width="10.28515625" style="90" customWidth="1"/>
    <col min="13082" max="13082" width="10.140625" style="90" customWidth="1"/>
    <col min="13083" max="13083" width="10" style="90" customWidth="1"/>
    <col min="13084" max="13325" width="10.85546875" style="90"/>
    <col min="13326" max="13326" width="18.85546875" style="90" customWidth="1"/>
    <col min="13327" max="13327" width="8" style="90" customWidth="1"/>
    <col min="13328" max="13328" width="8.5703125" style="90" customWidth="1"/>
    <col min="13329" max="13330" width="8.7109375" style="90" customWidth="1"/>
    <col min="13331" max="13331" width="8.28515625" style="90" customWidth="1"/>
    <col min="13332" max="13333" width="8.140625" style="90" customWidth="1"/>
    <col min="13334" max="13334" width="9.42578125" style="90" customWidth="1"/>
    <col min="13335" max="13335" width="10.7109375" style="90" customWidth="1"/>
    <col min="13336" max="13336" width="9.5703125" style="90" customWidth="1"/>
    <col min="13337" max="13337" width="10.28515625" style="90" customWidth="1"/>
    <col min="13338" max="13338" width="10.140625" style="90" customWidth="1"/>
    <col min="13339" max="13339" width="10" style="90" customWidth="1"/>
    <col min="13340" max="13581" width="10.85546875" style="90"/>
    <col min="13582" max="13582" width="18.85546875" style="90" customWidth="1"/>
    <col min="13583" max="13583" width="8" style="90" customWidth="1"/>
    <col min="13584" max="13584" width="8.5703125" style="90" customWidth="1"/>
    <col min="13585" max="13586" width="8.7109375" style="90" customWidth="1"/>
    <col min="13587" max="13587" width="8.28515625" style="90" customWidth="1"/>
    <col min="13588" max="13589" width="8.140625" style="90" customWidth="1"/>
    <col min="13590" max="13590" width="9.42578125" style="90" customWidth="1"/>
    <col min="13591" max="13591" width="10.7109375" style="90" customWidth="1"/>
    <col min="13592" max="13592" width="9.5703125" style="90" customWidth="1"/>
    <col min="13593" max="13593" width="10.28515625" style="90" customWidth="1"/>
    <col min="13594" max="13594" width="10.140625" style="90" customWidth="1"/>
    <col min="13595" max="13595" width="10" style="90" customWidth="1"/>
    <col min="13596" max="13837" width="10.85546875" style="90"/>
    <col min="13838" max="13838" width="18.85546875" style="90" customWidth="1"/>
    <col min="13839" max="13839" width="8" style="90" customWidth="1"/>
    <col min="13840" max="13840" width="8.5703125" style="90" customWidth="1"/>
    <col min="13841" max="13842" width="8.7109375" style="90" customWidth="1"/>
    <col min="13843" max="13843" width="8.28515625" style="90" customWidth="1"/>
    <col min="13844" max="13845" width="8.140625" style="90" customWidth="1"/>
    <col min="13846" max="13846" width="9.42578125" style="90" customWidth="1"/>
    <col min="13847" max="13847" width="10.7109375" style="90" customWidth="1"/>
    <col min="13848" max="13848" width="9.5703125" style="90" customWidth="1"/>
    <col min="13849" max="13849" width="10.28515625" style="90" customWidth="1"/>
    <col min="13850" max="13850" width="10.140625" style="90" customWidth="1"/>
    <col min="13851" max="13851" width="10" style="90" customWidth="1"/>
    <col min="13852" max="14093" width="10.85546875" style="90"/>
    <col min="14094" max="14094" width="18.85546875" style="90" customWidth="1"/>
    <col min="14095" max="14095" width="8" style="90" customWidth="1"/>
    <col min="14096" max="14096" width="8.5703125" style="90" customWidth="1"/>
    <col min="14097" max="14098" width="8.7109375" style="90" customWidth="1"/>
    <col min="14099" max="14099" width="8.28515625" style="90" customWidth="1"/>
    <col min="14100" max="14101" width="8.140625" style="90" customWidth="1"/>
    <col min="14102" max="14102" width="9.42578125" style="90" customWidth="1"/>
    <col min="14103" max="14103" width="10.7109375" style="90" customWidth="1"/>
    <col min="14104" max="14104" width="9.5703125" style="90" customWidth="1"/>
    <col min="14105" max="14105" width="10.28515625" style="90" customWidth="1"/>
    <col min="14106" max="14106" width="10.140625" style="90" customWidth="1"/>
    <col min="14107" max="14107" width="10" style="90" customWidth="1"/>
    <col min="14108" max="14349" width="10.85546875" style="90"/>
    <col min="14350" max="14350" width="18.85546875" style="90" customWidth="1"/>
    <col min="14351" max="14351" width="8" style="90" customWidth="1"/>
    <col min="14352" max="14352" width="8.5703125" style="90" customWidth="1"/>
    <col min="14353" max="14354" width="8.7109375" style="90" customWidth="1"/>
    <col min="14355" max="14355" width="8.28515625" style="90" customWidth="1"/>
    <col min="14356" max="14357" width="8.140625" style="90" customWidth="1"/>
    <col min="14358" max="14358" width="9.42578125" style="90" customWidth="1"/>
    <col min="14359" max="14359" width="10.7109375" style="90" customWidth="1"/>
    <col min="14360" max="14360" width="9.5703125" style="90" customWidth="1"/>
    <col min="14361" max="14361" width="10.28515625" style="90" customWidth="1"/>
    <col min="14362" max="14362" width="10.140625" style="90" customWidth="1"/>
    <col min="14363" max="14363" width="10" style="90" customWidth="1"/>
    <col min="14364" max="14605" width="10.85546875" style="90"/>
    <col min="14606" max="14606" width="18.85546875" style="90" customWidth="1"/>
    <col min="14607" max="14607" width="8" style="90" customWidth="1"/>
    <col min="14608" max="14608" width="8.5703125" style="90" customWidth="1"/>
    <col min="14609" max="14610" width="8.7109375" style="90" customWidth="1"/>
    <col min="14611" max="14611" width="8.28515625" style="90" customWidth="1"/>
    <col min="14612" max="14613" width="8.140625" style="90" customWidth="1"/>
    <col min="14614" max="14614" width="9.42578125" style="90" customWidth="1"/>
    <col min="14615" max="14615" width="10.7109375" style="90" customWidth="1"/>
    <col min="14616" max="14616" width="9.5703125" style="90" customWidth="1"/>
    <col min="14617" max="14617" width="10.28515625" style="90" customWidth="1"/>
    <col min="14618" max="14618" width="10.140625" style="90" customWidth="1"/>
    <col min="14619" max="14619" width="10" style="90" customWidth="1"/>
    <col min="14620" max="14861" width="10.85546875" style="90"/>
    <col min="14862" max="14862" width="18.85546875" style="90" customWidth="1"/>
    <col min="14863" max="14863" width="8" style="90" customWidth="1"/>
    <col min="14864" max="14864" width="8.5703125" style="90" customWidth="1"/>
    <col min="14865" max="14866" width="8.7109375" style="90" customWidth="1"/>
    <col min="14867" max="14867" width="8.28515625" style="90" customWidth="1"/>
    <col min="14868" max="14869" width="8.140625" style="90" customWidth="1"/>
    <col min="14870" max="14870" width="9.42578125" style="90" customWidth="1"/>
    <col min="14871" max="14871" width="10.7109375" style="90" customWidth="1"/>
    <col min="14872" max="14872" width="9.5703125" style="90" customWidth="1"/>
    <col min="14873" max="14873" width="10.28515625" style="90" customWidth="1"/>
    <col min="14874" max="14874" width="10.140625" style="90" customWidth="1"/>
    <col min="14875" max="14875" width="10" style="90" customWidth="1"/>
    <col min="14876" max="15117" width="10.85546875" style="90"/>
    <col min="15118" max="15118" width="18.85546875" style="90" customWidth="1"/>
    <col min="15119" max="15119" width="8" style="90" customWidth="1"/>
    <col min="15120" max="15120" width="8.5703125" style="90" customWidth="1"/>
    <col min="15121" max="15122" width="8.7109375" style="90" customWidth="1"/>
    <col min="15123" max="15123" width="8.28515625" style="90" customWidth="1"/>
    <col min="15124" max="15125" width="8.140625" style="90" customWidth="1"/>
    <col min="15126" max="15126" width="9.42578125" style="90" customWidth="1"/>
    <col min="15127" max="15127" width="10.7109375" style="90" customWidth="1"/>
    <col min="15128" max="15128" width="9.5703125" style="90" customWidth="1"/>
    <col min="15129" max="15129" width="10.28515625" style="90" customWidth="1"/>
    <col min="15130" max="15130" width="10.140625" style="90" customWidth="1"/>
    <col min="15131" max="15131" width="10" style="90" customWidth="1"/>
    <col min="15132" max="15373" width="10.85546875" style="90"/>
    <col min="15374" max="15374" width="18.85546875" style="90" customWidth="1"/>
    <col min="15375" max="15375" width="8" style="90" customWidth="1"/>
    <col min="15376" max="15376" width="8.5703125" style="90" customWidth="1"/>
    <col min="15377" max="15378" width="8.7109375" style="90" customWidth="1"/>
    <col min="15379" max="15379" width="8.28515625" style="90" customWidth="1"/>
    <col min="15380" max="15381" width="8.140625" style="90" customWidth="1"/>
    <col min="15382" max="15382" width="9.42578125" style="90" customWidth="1"/>
    <col min="15383" max="15383" width="10.7109375" style="90" customWidth="1"/>
    <col min="15384" max="15384" width="9.5703125" style="90" customWidth="1"/>
    <col min="15385" max="15385" width="10.28515625" style="90" customWidth="1"/>
    <col min="15386" max="15386" width="10.140625" style="90" customWidth="1"/>
    <col min="15387" max="15387" width="10" style="90" customWidth="1"/>
    <col min="15388" max="15629" width="10.85546875" style="90"/>
    <col min="15630" max="15630" width="18.85546875" style="90" customWidth="1"/>
    <col min="15631" max="15631" width="8" style="90" customWidth="1"/>
    <col min="15632" max="15632" width="8.5703125" style="90" customWidth="1"/>
    <col min="15633" max="15634" width="8.7109375" style="90" customWidth="1"/>
    <col min="15635" max="15635" width="8.28515625" style="90" customWidth="1"/>
    <col min="15636" max="15637" width="8.140625" style="90" customWidth="1"/>
    <col min="15638" max="15638" width="9.42578125" style="90" customWidth="1"/>
    <col min="15639" max="15639" width="10.7109375" style="90" customWidth="1"/>
    <col min="15640" max="15640" width="9.5703125" style="90" customWidth="1"/>
    <col min="15641" max="15641" width="10.28515625" style="90" customWidth="1"/>
    <col min="15642" max="15642" width="10.140625" style="90" customWidth="1"/>
    <col min="15643" max="15643" width="10" style="90" customWidth="1"/>
    <col min="15644" max="15885" width="10.85546875" style="90"/>
    <col min="15886" max="15886" width="18.85546875" style="90" customWidth="1"/>
    <col min="15887" max="15887" width="8" style="90" customWidth="1"/>
    <col min="15888" max="15888" width="8.5703125" style="90" customWidth="1"/>
    <col min="15889" max="15890" width="8.7109375" style="90" customWidth="1"/>
    <col min="15891" max="15891" width="8.28515625" style="90" customWidth="1"/>
    <col min="15892" max="15893" width="8.140625" style="90" customWidth="1"/>
    <col min="15894" max="15894" width="9.42578125" style="90" customWidth="1"/>
    <col min="15895" max="15895" width="10.7109375" style="90" customWidth="1"/>
    <col min="15896" max="15896" width="9.5703125" style="90" customWidth="1"/>
    <col min="15897" max="15897" width="10.28515625" style="90" customWidth="1"/>
    <col min="15898" max="15898" width="10.140625" style="90" customWidth="1"/>
    <col min="15899" max="15899" width="10" style="90" customWidth="1"/>
    <col min="15900" max="16141" width="10.85546875" style="90"/>
    <col min="16142" max="16142" width="18.85546875" style="90" customWidth="1"/>
    <col min="16143" max="16143" width="8" style="90" customWidth="1"/>
    <col min="16144" max="16144" width="8.5703125" style="90" customWidth="1"/>
    <col min="16145" max="16146" width="8.7109375" style="90" customWidth="1"/>
    <col min="16147" max="16147" width="8.28515625" style="90" customWidth="1"/>
    <col min="16148" max="16149" width="8.140625" style="90" customWidth="1"/>
    <col min="16150" max="16150" width="9.42578125" style="90" customWidth="1"/>
    <col min="16151" max="16151" width="10.7109375" style="90" customWidth="1"/>
    <col min="16152" max="16152" width="9.5703125" style="90" customWidth="1"/>
    <col min="16153" max="16153" width="10.28515625" style="90" customWidth="1"/>
    <col min="16154" max="16154" width="10.140625" style="90" customWidth="1"/>
    <col min="16155" max="16155" width="10" style="90" customWidth="1"/>
    <col min="16156" max="16384" width="10.85546875" style="90"/>
  </cols>
  <sheetData>
    <row r="6" spans="1:27" ht="20.25" x14ac:dyDescent="0.3">
      <c r="H6" s="156" t="s">
        <v>186</v>
      </c>
      <c r="I6" s="156"/>
    </row>
    <row r="7" spans="1:27" ht="13.5" thickBot="1" x14ac:dyDescent="0.25"/>
    <row r="8" spans="1:27" ht="15" customHeight="1" thickTop="1" thickBot="1" x14ac:dyDescent="0.25">
      <c r="A8" s="1813" t="s">
        <v>843</v>
      </c>
      <c r="B8" s="1815" t="s">
        <v>0</v>
      </c>
      <c r="C8" s="1816"/>
      <c r="D8" s="1817" t="s">
        <v>1</v>
      </c>
      <c r="E8" s="1818"/>
      <c r="F8" s="1819" t="s">
        <v>2</v>
      </c>
      <c r="G8" s="1820"/>
      <c r="H8" s="1821" t="s">
        <v>3</v>
      </c>
      <c r="I8" s="1822"/>
      <c r="J8" s="1811" t="s">
        <v>4</v>
      </c>
      <c r="K8" s="1812"/>
      <c r="L8" s="1799" t="s">
        <v>5</v>
      </c>
      <c r="M8" s="1800"/>
      <c r="N8" s="1801" t="s">
        <v>6</v>
      </c>
      <c r="O8" s="1802"/>
      <c r="P8" s="1803" t="s">
        <v>7</v>
      </c>
      <c r="Q8" s="1804"/>
      <c r="R8" s="1805" t="s">
        <v>8</v>
      </c>
      <c r="S8" s="1806"/>
      <c r="T8" s="1807" t="s">
        <v>9</v>
      </c>
      <c r="U8" s="1808"/>
      <c r="V8" s="1809" t="s">
        <v>10</v>
      </c>
      <c r="W8" s="1810"/>
      <c r="X8" s="1795" t="s">
        <v>11</v>
      </c>
      <c r="Y8" s="1796"/>
      <c r="Z8" s="1797" t="s">
        <v>187</v>
      </c>
      <c r="AA8" s="1798"/>
    </row>
    <row r="9" spans="1:27" ht="14.25" thickTop="1" thickBot="1" x14ac:dyDescent="0.25">
      <c r="A9" s="1814"/>
      <c r="B9" s="1093" t="s">
        <v>684</v>
      </c>
      <c r="C9" s="1093" t="s">
        <v>683</v>
      </c>
      <c r="D9" s="1094" t="s">
        <v>682</v>
      </c>
      <c r="E9" s="1094" t="s">
        <v>683</v>
      </c>
      <c r="F9" s="1095" t="s">
        <v>682</v>
      </c>
      <c r="G9" s="1095" t="s">
        <v>683</v>
      </c>
      <c r="H9" s="1096" t="s">
        <v>684</v>
      </c>
      <c r="I9" s="1096" t="s">
        <v>683</v>
      </c>
      <c r="J9" s="1097" t="s">
        <v>684</v>
      </c>
      <c r="K9" s="1097" t="s">
        <v>683</v>
      </c>
      <c r="L9" s="1098" t="s">
        <v>682</v>
      </c>
      <c r="M9" s="1098" t="s">
        <v>683</v>
      </c>
      <c r="N9" s="1099" t="s">
        <v>684</v>
      </c>
      <c r="O9" s="1099" t="s">
        <v>683</v>
      </c>
      <c r="P9" s="1100" t="s">
        <v>682</v>
      </c>
      <c r="Q9" s="1100" t="s">
        <v>683</v>
      </c>
      <c r="R9" s="1101" t="s">
        <v>682</v>
      </c>
      <c r="S9" s="1101" t="s">
        <v>683</v>
      </c>
      <c r="T9" s="1102" t="s">
        <v>682</v>
      </c>
      <c r="U9" s="1105" t="s">
        <v>683</v>
      </c>
      <c r="V9" s="1103" t="s">
        <v>682</v>
      </c>
      <c r="W9" s="1103" t="s">
        <v>683</v>
      </c>
      <c r="X9" s="1123" t="s">
        <v>682</v>
      </c>
      <c r="Y9" s="1124" t="s">
        <v>683</v>
      </c>
      <c r="Z9" s="1126" t="s">
        <v>682</v>
      </c>
      <c r="AA9" s="1127" t="s">
        <v>683</v>
      </c>
    </row>
    <row r="10" spans="1:27" ht="13.5" thickTop="1" x14ac:dyDescent="0.2">
      <c r="A10" s="170" t="s">
        <v>183</v>
      </c>
      <c r="B10" s="1239">
        <f>DATOS!$C79/DATOS!$C$154</f>
        <v>0</v>
      </c>
      <c r="C10" s="1239">
        <f>DATOS!$D79/DATOS!$D$154</f>
        <v>0</v>
      </c>
      <c r="D10" s="1239">
        <f>DATOS!$E79/DATOS!$E$154</f>
        <v>0</v>
      </c>
      <c r="E10" s="1239">
        <f>DATOS!$F79/DATOS!$F$154</f>
        <v>0</v>
      </c>
      <c r="F10" s="1239">
        <f>DATOS!$G79/DATOS!$G$154</f>
        <v>0</v>
      </c>
      <c r="G10" s="1239">
        <f>DATOS!$H79/DATOS!$H$154</f>
        <v>0</v>
      </c>
      <c r="H10" s="684">
        <f>DATOS!$I79/DATOS!$I$154</f>
        <v>0</v>
      </c>
      <c r="I10" s="684">
        <f>DATOS!$J79/DATOS!$J$154</f>
        <v>0</v>
      </c>
      <c r="J10" s="684">
        <f>DATOS!$K79/DATOS!$K$154</f>
        <v>0</v>
      </c>
      <c r="K10" s="684">
        <f>DATOS!$L79/DATOS!$L$154</f>
        <v>0</v>
      </c>
      <c r="L10" s="684">
        <f>DATOS!$M79/DATOS!$M$154</f>
        <v>0</v>
      </c>
      <c r="M10" s="684">
        <f>DATOS!$N79/DATOS!$N$154</f>
        <v>0</v>
      </c>
      <c r="N10" s="684">
        <f>DATOS!$O79/DATOS!$O$154</f>
        <v>0</v>
      </c>
      <c r="O10" s="684">
        <f>DATOS!$P79/DATOS!$P$154</f>
        <v>0</v>
      </c>
      <c r="P10" s="684">
        <f>DATOS!$Q79/DATOS!$Q$154</f>
        <v>0</v>
      </c>
      <c r="Q10" s="684">
        <f>DATOS!$R79/DATOS!$R$154</f>
        <v>0</v>
      </c>
      <c r="R10" s="684">
        <f>DATOS!$S79/DATOS!$S$154</f>
        <v>0</v>
      </c>
      <c r="S10" s="684">
        <f>DATOS!$T79/DATOS!$T$154</f>
        <v>0</v>
      </c>
      <c r="T10" s="684">
        <f>DATOS!$U79/DATOS!$U$154</f>
        <v>0</v>
      </c>
      <c r="U10" s="684">
        <f>DATOS!$V79/DATOS!$V$154</f>
        <v>0</v>
      </c>
      <c r="V10" s="684">
        <f>DATOS!$W79/DATOS!$W$154</f>
        <v>0</v>
      </c>
      <c r="W10" s="684">
        <f>DATOS!$X79/DATOS!$X$154</f>
        <v>0</v>
      </c>
      <c r="X10" s="684">
        <f>DATOS!$Y79/DATOS!$Y$154</f>
        <v>0</v>
      </c>
      <c r="Y10" s="684">
        <f>DATOS!$Z79/DATOS!$Z$154</f>
        <v>0</v>
      </c>
      <c r="Z10" s="1125">
        <f>AVERAGE(B10,D10,F10,H10,J10,L10,N10,P10,R10,T10,V10,X10)</f>
        <v>0</v>
      </c>
      <c r="AA10" s="1125">
        <f>AVERAGE(C10,E10,G10,I10,K10,M10,O10,Q10,S10,U10,W10,Y10)</f>
        <v>0</v>
      </c>
    </row>
    <row r="11" spans="1:27" x14ac:dyDescent="0.2">
      <c r="A11" s="170" t="s">
        <v>176</v>
      </c>
      <c r="B11" s="1239">
        <f>DATOS!$C80/DATOS!$C$154</f>
        <v>0</v>
      </c>
      <c r="C11" s="1239">
        <f>DATOS!$D80/DATOS!$D$154</f>
        <v>0</v>
      </c>
      <c r="D11" s="1239">
        <f>DATOS!$E80/DATOS!$E$154</f>
        <v>0</v>
      </c>
      <c r="E11" s="1239">
        <f>DATOS!$F80/DATOS!$F$154</f>
        <v>0</v>
      </c>
      <c r="F11" s="1239">
        <f>DATOS!$G80/DATOS!$G$154</f>
        <v>0</v>
      </c>
      <c r="G11" s="1239">
        <f>DATOS!$H80/DATOS!$H$154</f>
        <v>0</v>
      </c>
      <c r="H11" s="684">
        <f>DATOS!$I80/DATOS!$I$154</f>
        <v>0</v>
      </c>
      <c r="I11" s="684">
        <f>DATOS!$J80/DATOS!$J$154</f>
        <v>0</v>
      </c>
      <c r="J11" s="684">
        <f>DATOS!$K80/DATOS!$K$154</f>
        <v>0</v>
      </c>
      <c r="K11" s="684">
        <f>DATOS!$L80/DATOS!$L$154</f>
        <v>0</v>
      </c>
      <c r="L11" s="684">
        <f>DATOS!$M80/DATOS!$M$154</f>
        <v>0</v>
      </c>
      <c r="M11" s="684">
        <f>DATOS!$N80/DATOS!$N$154</f>
        <v>0</v>
      </c>
      <c r="N11" s="684">
        <f>DATOS!$O80/DATOS!$O$154</f>
        <v>0</v>
      </c>
      <c r="O11" s="684">
        <f>DATOS!$P80/DATOS!$P$154</f>
        <v>0</v>
      </c>
      <c r="P11" s="684">
        <f>DATOS!$Q80/DATOS!$Q$154</f>
        <v>0</v>
      </c>
      <c r="Q11" s="684">
        <f>DATOS!$R80/DATOS!$R$154</f>
        <v>0</v>
      </c>
      <c r="R11" s="684">
        <f>DATOS!$S80/DATOS!$S$154</f>
        <v>0</v>
      </c>
      <c r="S11" s="684">
        <f>DATOS!$T80/DATOS!$T$154</f>
        <v>0</v>
      </c>
      <c r="T11" s="684">
        <f>DATOS!$U80/DATOS!$U$154</f>
        <v>0</v>
      </c>
      <c r="U11" s="684">
        <f>DATOS!$V80/DATOS!$V$154</f>
        <v>0</v>
      </c>
      <c r="V11" s="684">
        <f>DATOS!$W80/DATOS!$W$154</f>
        <v>0</v>
      </c>
      <c r="W11" s="684">
        <f>DATOS!$X80/DATOS!$X$154</f>
        <v>0</v>
      </c>
      <c r="X11" s="684">
        <f>DATOS!$Y80/DATOS!$Y$154</f>
        <v>0</v>
      </c>
      <c r="Y11" s="684">
        <f>DATOS!$Z80/DATOS!$Z$154</f>
        <v>0</v>
      </c>
      <c r="Z11" s="1125">
        <f t="shared" ref="Z11:Z78" si="0">AVERAGE(B11,D11,F11,H11,J11,L11,N11,P11,R11,T11,V11,X11)</f>
        <v>0</v>
      </c>
      <c r="AA11" s="1125">
        <f t="shared" ref="AA11:AA78" si="1">AVERAGE(C11,E11,G11,I11,K11,M11,O11,Q11,S11,U11,W11,Y11)</f>
        <v>0</v>
      </c>
    </row>
    <row r="12" spans="1:27" x14ac:dyDescent="0.2">
      <c r="A12" s="170" t="s">
        <v>216</v>
      </c>
      <c r="B12" s="684">
        <f>DATOS!$C81/DATOS!$C$154</f>
        <v>0.85045728589626857</v>
      </c>
      <c r="C12" s="1239">
        <f>DATOS!$D81/DATOS!$D$154</f>
        <v>0</v>
      </c>
      <c r="D12" s="684">
        <f>DATOS!$E81/DATOS!$E$154</f>
        <v>0.83454975034179912</v>
      </c>
      <c r="E12" s="1239">
        <f>DATOS!$F81/DATOS!$F$154</f>
        <v>0</v>
      </c>
      <c r="F12" s="684">
        <f>DATOS!$G81/DATOS!$G$154</f>
        <v>0.77838404863203414</v>
      </c>
      <c r="G12" s="1239">
        <f>DATOS!$H81/DATOS!$H$154</f>
        <v>0</v>
      </c>
      <c r="H12" s="684">
        <f>DATOS!$I81/DATOS!$I$154</f>
        <v>0.83395314655202235</v>
      </c>
      <c r="I12" s="684">
        <f>DATOS!$J81/DATOS!$J$154</f>
        <v>0</v>
      </c>
      <c r="J12" s="684">
        <f>DATOS!$K81/DATOS!$K$154</f>
        <v>0.77278291596475912</v>
      </c>
      <c r="K12" s="684">
        <f>DATOS!$L81/DATOS!$L$154</f>
        <v>0</v>
      </c>
      <c r="L12" s="684">
        <f>DATOS!$M81/DATOS!$M$154</f>
        <v>0.85216871613887768</v>
      </c>
      <c r="M12" s="684">
        <f>DATOS!$N81/DATOS!$N$154</f>
        <v>0</v>
      </c>
      <c r="N12" s="684">
        <f>DATOS!$O81/DATOS!$O$154</f>
        <v>0.85107322831655063</v>
      </c>
      <c r="O12" s="684">
        <f>DATOS!$P81/DATOS!$P$154</f>
        <v>0</v>
      </c>
      <c r="P12" s="684">
        <f>DATOS!$Q81/DATOS!$Q$154</f>
        <v>0.91112336721902487</v>
      </c>
      <c r="Q12" s="684">
        <f>DATOS!$R81/DATOS!$R$154</f>
        <v>0</v>
      </c>
      <c r="R12" s="684">
        <f>DATOS!$S81/DATOS!$S$154</f>
        <v>0.79018232286929491</v>
      </c>
      <c r="S12" s="684">
        <f>DATOS!$T81/DATOS!$T$154</f>
        <v>0</v>
      </c>
      <c r="T12" s="684">
        <f>DATOS!$U81/DATOS!$U$154</f>
        <v>0.81233876119859172</v>
      </c>
      <c r="U12" s="684">
        <f>DATOS!$V81/DATOS!$V$154</f>
        <v>0</v>
      </c>
      <c r="V12" s="684">
        <f>DATOS!$W81/DATOS!$W$154</f>
        <v>0.81406228537312841</v>
      </c>
      <c r="W12" s="684">
        <f>DATOS!$X81/DATOS!$X$154</f>
        <v>0</v>
      </c>
      <c r="X12" s="684">
        <f>DATOS!$Y81/DATOS!$Y$154</f>
        <v>0.77375948312629872</v>
      </c>
      <c r="Y12" s="684">
        <f>DATOS!$Z81/DATOS!$Z$154</f>
        <v>0</v>
      </c>
      <c r="Z12" s="1125">
        <f t="shared" si="0"/>
        <v>0.82290294263572072</v>
      </c>
      <c r="AA12" s="1125">
        <f t="shared" si="1"/>
        <v>0</v>
      </c>
    </row>
    <row r="13" spans="1:27" x14ac:dyDescent="0.2">
      <c r="A13" s="1104" t="s">
        <v>279</v>
      </c>
      <c r="B13" s="1239">
        <f>DATOS!$C82/DATOS!$C$154</f>
        <v>0</v>
      </c>
      <c r="C13" s="1239">
        <f>DATOS!$D82/DATOS!$D$154</f>
        <v>0</v>
      </c>
      <c r="D13" s="1239">
        <f>DATOS!$E82/DATOS!$E$154</f>
        <v>0</v>
      </c>
      <c r="E13" s="1239">
        <f>DATOS!$F82/DATOS!$F$154</f>
        <v>0</v>
      </c>
      <c r="F13" s="1239">
        <f>DATOS!$G82/DATOS!$G$154</f>
        <v>0</v>
      </c>
      <c r="G13" s="1239">
        <f>DATOS!$H82/DATOS!$H$154</f>
        <v>0</v>
      </c>
      <c r="H13" s="684">
        <f>DATOS!$I82/DATOS!$I$154</f>
        <v>0</v>
      </c>
      <c r="I13" s="684">
        <f>DATOS!$J82/DATOS!$J$154</f>
        <v>0</v>
      </c>
      <c r="J13" s="684">
        <f>DATOS!$K82/DATOS!$K$154</f>
        <v>0</v>
      </c>
      <c r="K13" s="684">
        <f>DATOS!$L82/DATOS!$L$154</f>
        <v>0</v>
      </c>
      <c r="L13" s="684">
        <f>DATOS!$M82/DATOS!$M$154</f>
        <v>0</v>
      </c>
      <c r="M13" s="684">
        <f>DATOS!$N82/DATOS!$N$154</f>
        <v>0</v>
      </c>
      <c r="N13" s="684">
        <f>DATOS!$O82/DATOS!$O$154</f>
        <v>0</v>
      </c>
      <c r="O13" s="684">
        <f>DATOS!$P82/DATOS!$P$154</f>
        <v>0</v>
      </c>
      <c r="P13" s="684">
        <f>DATOS!$Q82/DATOS!$Q$154</f>
        <v>0</v>
      </c>
      <c r="Q13" s="684">
        <f>DATOS!$R82/DATOS!$R$154</f>
        <v>0</v>
      </c>
      <c r="R13" s="684">
        <f>DATOS!$S82/DATOS!$S$154</f>
        <v>0</v>
      </c>
      <c r="S13" s="684">
        <f>DATOS!$T82/DATOS!$T$154</f>
        <v>0</v>
      </c>
      <c r="T13" s="684">
        <f>DATOS!$U82/DATOS!$U$154</f>
        <v>0</v>
      </c>
      <c r="U13" s="684">
        <f>DATOS!$V82/DATOS!$V$154</f>
        <v>0</v>
      </c>
      <c r="V13" s="684">
        <f>DATOS!$W82/DATOS!$W$154</f>
        <v>0</v>
      </c>
      <c r="W13" s="684">
        <f>DATOS!$X82/DATOS!$X$154</f>
        <v>0</v>
      </c>
      <c r="X13" s="684">
        <f>DATOS!$Y82/DATOS!$Y$154</f>
        <v>0</v>
      </c>
      <c r="Y13" s="684">
        <f>DATOS!$Z82/DATOS!$Z$154</f>
        <v>0</v>
      </c>
      <c r="Z13" s="1125">
        <f t="shared" si="0"/>
        <v>0</v>
      </c>
      <c r="AA13" s="1125">
        <f t="shared" si="1"/>
        <v>0</v>
      </c>
    </row>
    <row r="14" spans="1:27" x14ac:dyDescent="0.2">
      <c r="A14" s="170" t="s">
        <v>182</v>
      </c>
      <c r="B14" s="1239">
        <f>DATOS!$C83/DATOS!$C$154</f>
        <v>0</v>
      </c>
      <c r="C14" s="1239">
        <f>DATOS!$D83/DATOS!$D$154</f>
        <v>0</v>
      </c>
      <c r="D14" s="1239">
        <f>DATOS!$E83/DATOS!$E$154</f>
        <v>0</v>
      </c>
      <c r="E14" s="1239">
        <f>DATOS!$F83/DATOS!$F$154</f>
        <v>0</v>
      </c>
      <c r="F14" s="1239">
        <f>DATOS!$G83/DATOS!$G$154</f>
        <v>0</v>
      </c>
      <c r="G14" s="1239">
        <f>DATOS!$H83/DATOS!$H$154</f>
        <v>0</v>
      </c>
      <c r="H14" s="684">
        <f>DATOS!$I83/DATOS!$I$154</f>
        <v>0</v>
      </c>
      <c r="I14" s="684">
        <f>DATOS!$J83/DATOS!$J$154</f>
        <v>0</v>
      </c>
      <c r="J14" s="684">
        <f>DATOS!$K83/DATOS!$K$154</f>
        <v>0</v>
      </c>
      <c r="K14" s="684">
        <f>DATOS!$L83/DATOS!$L$154</f>
        <v>0</v>
      </c>
      <c r="L14" s="684">
        <f>DATOS!$M83/DATOS!$M$154</f>
        <v>0</v>
      </c>
      <c r="M14" s="684">
        <f>DATOS!$N83/DATOS!$N$154</f>
        <v>0</v>
      </c>
      <c r="N14" s="684">
        <f>DATOS!$O83/DATOS!$O$154</f>
        <v>0</v>
      </c>
      <c r="O14" s="684">
        <f>DATOS!$P83/DATOS!$P$154</f>
        <v>0</v>
      </c>
      <c r="P14" s="684">
        <f>DATOS!$Q83/DATOS!$Q$154</f>
        <v>0</v>
      </c>
      <c r="Q14" s="684">
        <f>DATOS!$R83/DATOS!$R$154</f>
        <v>0</v>
      </c>
      <c r="R14" s="684">
        <f>DATOS!$S83/DATOS!$S$154</f>
        <v>0</v>
      </c>
      <c r="S14" s="684">
        <f>DATOS!$T83/DATOS!$T$154</f>
        <v>0</v>
      </c>
      <c r="T14" s="684">
        <f>DATOS!$U83/DATOS!$U$154</f>
        <v>0</v>
      </c>
      <c r="U14" s="684">
        <f>DATOS!$V83/DATOS!$V$154</f>
        <v>0</v>
      </c>
      <c r="V14" s="684">
        <f>DATOS!$W83/DATOS!$W$154</f>
        <v>0</v>
      </c>
      <c r="W14" s="684">
        <f>DATOS!$X83/DATOS!$X$154</f>
        <v>0</v>
      </c>
      <c r="X14" s="684">
        <f>DATOS!$Y83/DATOS!$Y$154</f>
        <v>0</v>
      </c>
      <c r="Y14" s="684">
        <f>DATOS!$Z83/DATOS!$Z$154</f>
        <v>0</v>
      </c>
      <c r="Z14" s="1125">
        <f t="shared" si="0"/>
        <v>0</v>
      </c>
      <c r="AA14" s="1125">
        <f t="shared" si="1"/>
        <v>0</v>
      </c>
    </row>
    <row r="15" spans="1:27" x14ac:dyDescent="0.2">
      <c r="A15" s="170" t="s">
        <v>181</v>
      </c>
      <c r="B15" s="1239">
        <f>DATOS!$C84/DATOS!$C$154</f>
        <v>0</v>
      </c>
      <c r="C15" s="1239">
        <f>DATOS!$D84/DATOS!$D$154</f>
        <v>0</v>
      </c>
      <c r="D15" s="1239">
        <f>DATOS!$E84/DATOS!$E$154</f>
        <v>0</v>
      </c>
      <c r="E15" s="1239">
        <f>DATOS!$F84/DATOS!$F$154</f>
        <v>0</v>
      </c>
      <c r="F15" s="1239">
        <f>DATOS!$G84/DATOS!$G$154</f>
        <v>0</v>
      </c>
      <c r="G15" s="1239">
        <f>DATOS!$H84/DATOS!$H$154</f>
        <v>0</v>
      </c>
      <c r="H15" s="684">
        <f>DATOS!$I84/DATOS!$I$154</f>
        <v>0</v>
      </c>
      <c r="I15" s="684">
        <f>DATOS!$J84/DATOS!$J$154</f>
        <v>0</v>
      </c>
      <c r="J15" s="684">
        <f>DATOS!$K84/DATOS!$K$154</f>
        <v>0</v>
      </c>
      <c r="K15" s="684">
        <f>DATOS!$L84/DATOS!$L$154</f>
        <v>0</v>
      </c>
      <c r="L15" s="684">
        <f>DATOS!$M84/DATOS!$M$154</f>
        <v>0</v>
      </c>
      <c r="M15" s="684">
        <f>DATOS!$N84/DATOS!$N$154</f>
        <v>0</v>
      </c>
      <c r="N15" s="684">
        <f>DATOS!$O84/DATOS!$O$154</f>
        <v>0</v>
      </c>
      <c r="O15" s="684">
        <f>DATOS!$P84/DATOS!$P$154</f>
        <v>0</v>
      </c>
      <c r="P15" s="684">
        <f>DATOS!$Q84/DATOS!$Q$154</f>
        <v>0</v>
      </c>
      <c r="Q15" s="684">
        <f>DATOS!$R84/DATOS!$R$154</f>
        <v>0</v>
      </c>
      <c r="R15" s="684">
        <f>DATOS!$S84/DATOS!$S$154</f>
        <v>0</v>
      </c>
      <c r="S15" s="684">
        <f>DATOS!$T84/DATOS!$T$154</f>
        <v>0</v>
      </c>
      <c r="T15" s="684">
        <f>DATOS!$U84/DATOS!$U$154</f>
        <v>0</v>
      </c>
      <c r="U15" s="684">
        <f>DATOS!$V84/DATOS!$V$154</f>
        <v>0</v>
      </c>
      <c r="V15" s="684">
        <f>DATOS!$W84/DATOS!$W$154</f>
        <v>0</v>
      </c>
      <c r="W15" s="684">
        <f>DATOS!$X84/DATOS!$X$154</f>
        <v>0</v>
      </c>
      <c r="X15" s="684">
        <f>DATOS!$Y84/DATOS!$Y$154</f>
        <v>0</v>
      </c>
      <c r="Y15" s="684">
        <f>DATOS!$Z84/DATOS!$Z$154</f>
        <v>0</v>
      </c>
      <c r="Z15" s="1125">
        <f t="shared" si="0"/>
        <v>0</v>
      </c>
      <c r="AA15" s="1125">
        <f t="shared" si="1"/>
        <v>0</v>
      </c>
    </row>
    <row r="16" spans="1:27" x14ac:dyDescent="0.2">
      <c r="A16" s="170" t="s">
        <v>173</v>
      </c>
      <c r="B16" s="1239">
        <f>DATOS!$C85/DATOS!$C$154</f>
        <v>0</v>
      </c>
      <c r="C16" s="1239">
        <f>DATOS!$D85/DATOS!$D$154</f>
        <v>0</v>
      </c>
      <c r="D16" s="1239">
        <f>DATOS!$E85/DATOS!$E$154</f>
        <v>0</v>
      </c>
      <c r="E16" s="1239">
        <f>DATOS!$F85/DATOS!$F$154</f>
        <v>0</v>
      </c>
      <c r="F16" s="1239">
        <f>DATOS!$G85/DATOS!$G$154</f>
        <v>0</v>
      </c>
      <c r="G16" s="1239">
        <f>DATOS!$H85/DATOS!$H$154</f>
        <v>0</v>
      </c>
      <c r="H16" s="684">
        <f>DATOS!$I85/DATOS!$I$154</f>
        <v>0</v>
      </c>
      <c r="I16" s="684">
        <f>DATOS!$J85/DATOS!$J$154</f>
        <v>0</v>
      </c>
      <c r="J16" s="684">
        <f>DATOS!$K85/DATOS!$K$154</f>
        <v>0</v>
      </c>
      <c r="K16" s="684">
        <f>DATOS!$L85/DATOS!$L$154</f>
        <v>0</v>
      </c>
      <c r="L16" s="684">
        <f>DATOS!$M85/DATOS!$M$154</f>
        <v>0</v>
      </c>
      <c r="M16" s="684">
        <f>DATOS!$N85/DATOS!$N$154</f>
        <v>0</v>
      </c>
      <c r="N16" s="684">
        <f>DATOS!$O85/DATOS!$O$154</f>
        <v>0</v>
      </c>
      <c r="O16" s="684">
        <f>DATOS!$P85/DATOS!$P$154</f>
        <v>0</v>
      </c>
      <c r="P16" s="684">
        <f>DATOS!$Q85/DATOS!$Q$154</f>
        <v>0</v>
      </c>
      <c r="Q16" s="684">
        <f>DATOS!$R85/DATOS!$R$154</f>
        <v>0</v>
      </c>
      <c r="R16" s="684">
        <f>DATOS!$S85/DATOS!$S$154</f>
        <v>0</v>
      </c>
      <c r="S16" s="684">
        <f>DATOS!$T85/DATOS!$T$154</f>
        <v>0</v>
      </c>
      <c r="T16" s="684">
        <f>DATOS!$U85/DATOS!$U$154</f>
        <v>0</v>
      </c>
      <c r="U16" s="684">
        <f>DATOS!$V85/DATOS!$V$154</f>
        <v>0</v>
      </c>
      <c r="V16" s="684">
        <f>DATOS!$W85/DATOS!$W$154</f>
        <v>0</v>
      </c>
      <c r="W16" s="684">
        <f>DATOS!$X85/DATOS!$X$154</f>
        <v>0</v>
      </c>
      <c r="X16" s="684">
        <f>DATOS!$Y85/DATOS!$Y$154</f>
        <v>0</v>
      </c>
      <c r="Y16" s="684">
        <f>DATOS!$Z85/DATOS!$Z$154</f>
        <v>0</v>
      </c>
      <c r="Z16" s="1125">
        <f t="shared" si="0"/>
        <v>0</v>
      </c>
      <c r="AA16" s="1125">
        <f t="shared" si="1"/>
        <v>0</v>
      </c>
    </row>
    <row r="17" spans="1:27" x14ac:dyDescent="0.2">
      <c r="A17" s="170" t="s">
        <v>651</v>
      </c>
      <c r="B17" s="684">
        <f>DATOS!$C86/DATOS!$C$154</f>
        <v>0</v>
      </c>
      <c r="C17" s="1239">
        <f>DATOS!$D86/DATOS!$D$154</f>
        <v>0</v>
      </c>
      <c r="D17" s="684">
        <f>DATOS!$E86/DATOS!$E$154</f>
        <v>5.4925826617796191E-3</v>
      </c>
      <c r="E17" s="1239">
        <f>DATOS!$F86/DATOS!$F$154</f>
        <v>0</v>
      </c>
      <c r="F17" s="684">
        <f>DATOS!$G86/DATOS!$G$154</f>
        <v>1.6087059380175062E-2</v>
      </c>
      <c r="G17" s="1239">
        <f>DATOS!$H86/DATOS!$H$154</f>
        <v>0</v>
      </c>
      <c r="H17" s="684">
        <f>DATOS!$I86/DATOS!$I$154</f>
        <v>6.0139286656516302E-3</v>
      </c>
      <c r="I17" s="684">
        <f>DATOS!$J86/DATOS!$J$154</f>
        <v>0</v>
      </c>
      <c r="J17" s="684">
        <f>DATOS!$K86/DATOS!$K$154</f>
        <v>1.1053461135497537E-2</v>
      </c>
      <c r="K17" s="684">
        <f>DATOS!$L86/DATOS!$L$154</f>
        <v>0</v>
      </c>
      <c r="L17" s="684">
        <f>DATOS!$M86/DATOS!$M$154</f>
        <v>1.0467516762570591E-2</v>
      </c>
      <c r="M17" s="684">
        <f>DATOS!$N86/DATOS!$N$154</f>
        <v>0</v>
      </c>
      <c r="N17" s="684">
        <f>DATOS!$O86/DATOS!$O$154</f>
        <v>9.785278436853357E-3</v>
      </c>
      <c r="O17" s="684">
        <f>DATOS!$P86/DATOS!$P$154</f>
        <v>0</v>
      </c>
      <c r="P17" s="684">
        <f>DATOS!$Q86/DATOS!$Q$154</f>
        <v>0</v>
      </c>
      <c r="Q17" s="684">
        <f>DATOS!$R86/DATOS!$R$154</f>
        <v>0</v>
      </c>
      <c r="R17" s="684">
        <f>DATOS!$S86/DATOS!$S$154</f>
        <v>0</v>
      </c>
      <c r="S17" s="684">
        <f>DATOS!$T86/DATOS!$T$154</f>
        <v>0</v>
      </c>
      <c r="T17" s="684">
        <f>DATOS!$U86/DATOS!$U$154</f>
        <v>7.5552026009031046E-3</v>
      </c>
      <c r="U17" s="684">
        <f>DATOS!$V86/DATOS!$V$154</f>
        <v>0</v>
      </c>
      <c r="V17" s="684">
        <f>DATOS!$W86/DATOS!$W$154</f>
        <v>0</v>
      </c>
      <c r="W17" s="684">
        <f>DATOS!$X86/DATOS!$X$154</f>
        <v>0</v>
      </c>
      <c r="X17" s="684">
        <f>DATOS!$Y86/DATOS!$Y$154</f>
        <v>8.2856341522186527E-3</v>
      </c>
      <c r="Y17" s="684">
        <f>DATOS!$Z86/DATOS!$Z$154</f>
        <v>0</v>
      </c>
      <c r="Z17" s="1125">
        <f t="shared" si="0"/>
        <v>6.2283886496374632E-3</v>
      </c>
      <c r="AA17" s="1125">
        <f t="shared" si="1"/>
        <v>0</v>
      </c>
    </row>
    <row r="18" spans="1:27" x14ac:dyDescent="0.2">
      <c r="A18" s="170" t="s">
        <v>178</v>
      </c>
      <c r="B18" s="684">
        <f>DATOS!$C87/DATOS!$C$154</f>
        <v>0</v>
      </c>
      <c r="C18" s="1239">
        <f>DATOS!$D87/DATOS!$D$154</f>
        <v>0</v>
      </c>
      <c r="D18" s="684">
        <f>DATOS!$E87/DATOS!$E$154</f>
        <v>0</v>
      </c>
      <c r="E18" s="1239">
        <f>DATOS!$F87/DATOS!$F$154</f>
        <v>0</v>
      </c>
      <c r="F18" s="1239">
        <f>DATOS!$G87/DATOS!$G$154</f>
        <v>0</v>
      </c>
      <c r="G18" s="1239">
        <f>DATOS!$H87/DATOS!$H$154</f>
        <v>0</v>
      </c>
      <c r="H18" s="684">
        <f>DATOS!$I87/DATOS!$I$154</f>
        <v>0</v>
      </c>
      <c r="I18" s="684">
        <f>DATOS!$J87/DATOS!$J$154</f>
        <v>0</v>
      </c>
      <c r="J18" s="684">
        <f>DATOS!$K87/DATOS!$K$154</f>
        <v>0</v>
      </c>
      <c r="K18" s="684">
        <f>DATOS!$L87/DATOS!$L$154</f>
        <v>0</v>
      </c>
      <c r="L18" s="684">
        <f>DATOS!$M87/DATOS!$M$154</f>
        <v>0</v>
      </c>
      <c r="M18" s="684">
        <f>DATOS!$N87/DATOS!$N$154</f>
        <v>0</v>
      </c>
      <c r="N18" s="684">
        <f>DATOS!$O87/DATOS!$O$154</f>
        <v>0</v>
      </c>
      <c r="O18" s="684">
        <f>DATOS!$P87/DATOS!$P$154</f>
        <v>0</v>
      </c>
      <c r="P18" s="684">
        <f>DATOS!$Q87/DATOS!$Q$154</f>
        <v>0</v>
      </c>
      <c r="Q18" s="684">
        <f>DATOS!$R87/DATOS!$R$154</f>
        <v>0</v>
      </c>
      <c r="R18" s="684">
        <f>DATOS!$S87/DATOS!$S$154</f>
        <v>0</v>
      </c>
      <c r="S18" s="684">
        <f>DATOS!$T87/DATOS!$T$154</f>
        <v>0</v>
      </c>
      <c r="T18" s="684">
        <f>DATOS!$U87/DATOS!$U$154</f>
        <v>1.2366566425353106E-3</v>
      </c>
      <c r="U18" s="684">
        <f>DATOS!$V87/DATOS!$V$154</f>
        <v>0</v>
      </c>
      <c r="V18" s="684">
        <f>DATOS!$W87/DATOS!$W$154</f>
        <v>2.1247420361924473E-3</v>
      </c>
      <c r="W18" s="684">
        <f>DATOS!$X87/DATOS!$X$154</f>
        <v>0</v>
      </c>
      <c r="X18" s="684">
        <f>DATOS!$Y87/DATOS!$Y$154</f>
        <v>1.0827256243987103E-3</v>
      </c>
      <c r="Y18" s="684">
        <f>DATOS!$Z87/DATOS!$Z$154</f>
        <v>0</v>
      </c>
      <c r="Z18" s="1125">
        <f t="shared" si="0"/>
        <v>3.7034369192720566E-4</v>
      </c>
      <c r="AA18" s="1125">
        <f t="shared" si="1"/>
        <v>0</v>
      </c>
    </row>
    <row r="19" spans="1:27" x14ac:dyDescent="0.2">
      <c r="A19" s="170" t="s">
        <v>177</v>
      </c>
      <c r="B19" s="1239">
        <f>DATOS!$C88/DATOS!$C$154</f>
        <v>0</v>
      </c>
      <c r="C19" s="1239">
        <f>DATOS!$D88/DATOS!$D$154</f>
        <v>0</v>
      </c>
      <c r="D19" s="1239">
        <f>DATOS!$E88/DATOS!$E$154</f>
        <v>0</v>
      </c>
      <c r="E19" s="1239">
        <f>DATOS!$F88/DATOS!$F$154</f>
        <v>0</v>
      </c>
      <c r="F19" s="1239">
        <f>DATOS!$G88/DATOS!$G$154</f>
        <v>0</v>
      </c>
      <c r="G19" s="1239">
        <f>DATOS!$H88/DATOS!$H$154</f>
        <v>0</v>
      </c>
      <c r="H19" s="684">
        <f>DATOS!$I88/DATOS!$I$154</f>
        <v>0</v>
      </c>
      <c r="I19" s="684">
        <f>DATOS!$J88/DATOS!$J$154</f>
        <v>0</v>
      </c>
      <c r="J19" s="684">
        <f>DATOS!$K88/DATOS!$K$154</f>
        <v>0</v>
      </c>
      <c r="K19" s="684">
        <f>DATOS!$L88/DATOS!$L$154</f>
        <v>0</v>
      </c>
      <c r="L19" s="684">
        <f>DATOS!$M88/DATOS!$M$154</f>
        <v>0</v>
      </c>
      <c r="M19" s="684">
        <f>DATOS!$N88/DATOS!$N$154</f>
        <v>0</v>
      </c>
      <c r="N19" s="684">
        <f>DATOS!$O88/DATOS!$O$154</f>
        <v>0</v>
      </c>
      <c r="O19" s="684">
        <f>DATOS!$P88/DATOS!$P$154</f>
        <v>0</v>
      </c>
      <c r="P19" s="684">
        <f>DATOS!$Q88/DATOS!$Q$154</f>
        <v>0</v>
      </c>
      <c r="Q19" s="684">
        <f>DATOS!$R88/DATOS!$R$154</f>
        <v>0</v>
      </c>
      <c r="R19" s="684">
        <f>DATOS!$S88/DATOS!$S$154</f>
        <v>0</v>
      </c>
      <c r="S19" s="684">
        <f>DATOS!$T88/DATOS!$T$154</f>
        <v>0</v>
      </c>
      <c r="T19" s="684">
        <f>DATOS!$U88/DATOS!$U$154</f>
        <v>0</v>
      </c>
      <c r="U19" s="684">
        <f>DATOS!$V88/DATOS!$V$154</f>
        <v>0</v>
      </c>
      <c r="V19" s="684">
        <f>DATOS!$W88/DATOS!$W$154</f>
        <v>0</v>
      </c>
      <c r="W19" s="684">
        <f>DATOS!$X88/DATOS!$X$154</f>
        <v>0</v>
      </c>
      <c r="X19" s="684">
        <f>DATOS!$Y88/DATOS!$Y$154</f>
        <v>0</v>
      </c>
      <c r="Y19" s="684">
        <f>DATOS!$Z88/DATOS!$Z$154</f>
        <v>0</v>
      </c>
      <c r="Z19" s="1125">
        <f t="shared" si="0"/>
        <v>0</v>
      </c>
      <c r="AA19" s="1125">
        <f t="shared" si="1"/>
        <v>0</v>
      </c>
    </row>
    <row r="20" spans="1:27" x14ac:dyDescent="0.2">
      <c r="A20" s="170" t="s">
        <v>169</v>
      </c>
      <c r="B20" s="1239">
        <f>DATOS!$C89/DATOS!$C$154</f>
        <v>0</v>
      </c>
      <c r="C20" s="1239">
        <f>DATOS!$D89/DATOS!$D$154</f>
        <v>0</v>
      </c>
      <c r="D20" s="1239">
        <f>DATOS!$E89/DATOS!$E$154</f>
        <v>0</v>
      </c>
      <c r="E20" s="1239">
        <f>DATOS!$F89/DATOS!$F$154</f>
        <v>0</v>
      </c>
      <c r="F20" s="1239">
        <f>DATOS!$G89/DATOS!$G$154</f>
        <v>6.7773415579535886E-4</v>
      </c>
      <c r="G20" s="1239">
        <f>DATOS!$H89/DATOS!$H$154</f>
        <v>0</v>
      </c>
      <c r="H20" s="684">
        <f>DATOS!$I89/DATOS!$I$154</f>
        <v>0</v>
      </c>
      <c r="I20" s="684">
        <f>DATOS!$J89/DATOS!$J$154</f>
        <v>0</v>
      </c>
      <c r="J20" s="684">
        <f>DATOS!$K89/DATOS!$K$154</f>
        <v>0</v>
      </c>
      <c r="K20" s="684">
        <f>DATOS!$L89/DATOS!$L$154</f>
        <v>0</v>
      </c>
      <c r="L20" s="684">
        <f>DATOS!$M89/DATOS!$M$154</f>
        <v>0</v>
      </c>
      <c r="M20" s="684">
        <f>DATOS!$N89/DATOS!$N$154</f>
        <v>0</v>
      </c>
      <c r="N20" s="684">
        <f>DATOS!$O89/DATOS!$O$154</f>
        <v>0</v>
      </c>
      <c r="O20" s="684">
        <f>DATOS!$P89/DATOS!$P$154</f>
        <v>0</v>
      </c>
      <c r="P20" s="684">
        <f>DATOS!$Q89/DATOS!$Q$154</f>
        <v>0</v>
      </c>
      <c r="Q20" s="684">
        <f>DATOS!$R89/DATOS!$R$154</f>
        <v>0</v>
      </c>
      <c r="R20" s="684">
        <f>DATOS!$S89/DATOS!$S$154</f>
        <v>0</v>
      </c>
      <c r="S20" s="684">
        <f>DATOS!$T89/DATOS!$T$154</f>
        <v>0</v>
      </c>
      <c r="T20" s="684">
        <f>DATOS!$U89/DATOS!$U$154</f>
        <v>0</v>
      </c>
      <c r="U20" s="684">
        <f>DATOS!$V89/DATOS!$V$154</f>
        <v>0</v>
      </c>
      <c r="V20" s="684">
        <f>DATOS!$W89/DATOS!$W$154</f>
        <v>0</v>
      </c>
      <c r="W20" s="684">
        <f>DATOS!$X89/DATOS!$X$154</f>
        <v>0</v>
      </c>
      <c r="X20" s="684">
        <f>DATOS!$Y89/DATOS!$Y$154</f>
        <v>0</v>
      </c>
      <c r="Y20" s="684">
        <f>DATOS!$Z89/DATOS!$Z$154</f>
        <v>0</v>
      </c>
      <c r="Z20" s="1125">
        <f t="shared" si="0"/>
        <v>5.6477846316279903E-5</v>
      </c>
      <c r="AA20" s="1125">
        <f t="shared" si="1"/>
        <v>0</v>
      </c>
    </row>
    <row r="21" spans="1:27" x14ac:dyDescent="0.2">
      <c r="A21" s="170" t="s">
        <v>179</v>
      </c>
      <c r="B21" s="1239">
        <f>DATOS!$C90/DATOS!$C$154</f>
        <v>0</v>
      </c>
      <c r="C21" s="1239">
        <f>DATOS!$D90/DATOS!$D$154</f>
        <v>0</v>
      </c>
      <c r="D21" s="1239">
        <f>DATOS!$E90/DATOS!$E$154</f>
        <v>0</v>
      </c>
      <c r="E21" s="1239">
        <f>DATOS!$F90/DATOS!$F$154</f>
        <v>0</v>
      </c>
      <c r="F21" s="1239">
        <f>DATOS!$G90/DATOS!$G$154</f>
        <v>0</v>
      </c>
      <c r="G21" s="1239">
        <f>DATOS!$H90/DATOS!$H$154</f>
        <v>0</v>
      </c>
      <c r="H21" s="684">
        <f>DATOS!$I90/DATOS!$I$154</f>
        <v>0</v>
      </c>
      <c r="I21" s="684">
        <f>DATOS!$J90/DATOS!$J$154</f>
        <v>0</v>
      </c>
      <c r="J21" s="684">
        <f>DATOS!$K90/DATOS!$K$154</f>
        <v>0</v>
      </c>
      <c r="K21" s="684">
        <f>DATOS!$L90/DATOS!$L$154</f>
        <v>0</v>
      </c>
      <c r="L21" s="684">
        <f>DATOS!$M90/DATOS!$M$154</f>
        <v>0</v>
      </c>
      <c r="M21" s="684">
        <f>DATOS!$N90/DATOS!$N$154</f>
        <v>0</v>
      </c>
      <c r="N21" s="684">
        <f>DATOS!$O90/DATOS!$O$154</f>
        <v>0</v>
      </c>
      <c r="O21" s="684">
        <f>DATOS!$P90/DATOS!$P$154</f>
        <v>0</v>
      </c>
      <c r="P21" s="684">
        <f>DATOS!$Q90/DATOS!$Q$154</f>
        <v>0</v>
      </c>
      <c r="Q21" s="684">
        <f>DATOS!$R90/DATOS!$R$154</f>
        <v>0</v>
      </c>
      <c r="R21" s="684">
        <f>DATOS!$S90/DATOS!$S$154</f>
        <v>0</v>
      </c>
      <c r="S21" s="684">
        <f>DATOS!$T90/DATOS!$T$154</f>
        <v>0</v>
      </c>
      <c r="T21" s="684">
        <f>DATOS!$U90/DATOS!$U$154</f>
        <v>0</v>
      </c>
      <c r="U21" s="684">
        <f>DATOS!$V90/DATOS!$V$154</f>
        <v>0</v>
      </c>
      <c r="V21" s="684">
        <f>DATOS!$W90/DATOS!$W$154</f>
        <v>0</v>
      </c>
      <c r="W21" s="684">
        <f>DATOS!$X90/DATOS!$X$154</f>
        <v>0</v>
      </c>
      <c r="X21" s="684">
        <f>DATOS!$Y90/DATOS!$Y$154</f>
        <v>0</v>
      </c>
      <c r="Y21" s="684">
        <f>DATOS!$Z90/DATOS!$Z$154</f>
        <v>0</v>
      </c>
      <c r="Z21" s="1125">
        <f t="shared" si="0"/>
        <v>0</v>
      </c>
      <c r="AA21" s="1125">
        <f t="shared" si="1"/>
        <v>0</v>
      </c>
    </row>
    <row r="22" spans="1:27" x14ac:dyDescent="0.2">
      <c r="A22" s="170" t="s">
        <v>652</v>
      </c>
      <c r="B22" s="1239">
        <f>DATOS!$C91/DATOS!$C$154</f>
        <v>0</v>
      </c>
      <c r="C22" s="1239">
        <f>DATOS!$D91/DATOS!$D$154</f>
        <v>0</v>
      </c>
      <c r="D22" s="1239">
        <f>DATOS!$E91/DATOS!$E$154</f>
        <v>0</v>
      </c>
      <c r="E22" s="1239">
        <f>DATOS!$F91/DATOS!$F$154</f>
        <v>0</v>
      </c>
      <c r="F22" s="1239">
        <f>DATOS!$G91/DATOS!$G$154</f>
        <v>0</v>
      </c>
      <c r="G22" s="1239">
        <f>DATOS!$H91/DATOS!$H$154</f>
        <v>0</v>
      </c>
      <c r="H22" s="684">
        <f>DATOS!$I91/DATOS!$I$154</f>
        <v>0</v>
      </c>
      <c r="I22" s="684">
        <f>DATOS!$J91/DATOS!$J$154</f>
        <v>0</v>
      </c>
      <c r="J22" s="684">
        <f>DATOS!$K91/DATOS!$K$154</f>
        <v>0</v>
      </c>
      <c r="K22" s="684">
        <f>DATOS!$L91/DATOS!$L$154</f>
        <v>0</v>
      </c>
      <c r="L22" s="684">
        <f>DATOS!$M91/DATOS!$M$154</f>
        <v>0</v>
      </c>
      <c r="M22" s="684">
        <f>DATOS!$N91/DATOS!$N$154</f>
        <v>0</v>
      </c>
      <c r="N22" s="684">
        <f>DATOS!$O91/DATOS!$O$154</f>
        <v>0</v>
      </c>
      <c r="O22" s="684">
        <f>DATOS!$P91/DATOS!$P$154</f>
        <v>0</v>
      </c>
      <c r="P22" s="684">
        <f>DATOS!$Q91/DATOS!$Q$154</f>
        <v>0</v>
      </c>
      <c r="Q22" s="684">
        <f>DATOS!$R91/DATOS!$R$154</f>
        <v>0</v>
      </c>
      <c r="R22" s="684">
        <f>DATOS!$S91/DATOS!$S$154</f>
        <v>0</v>
      </c>
      <c r="S22" s="684">
        <f>DATOS!$T91/DATOS!$T$154</f>
        <v>0</v>
      </c>
      <c r="T22" s="684">
        <f>DATOS!$U91/DATOS!$U$154</f>
        <v>0</v>
      </c>
      <c r="U22" s="684">
        <f>DATOS!$V91/DATOS!$V$154</f>
        <v>0</v>
      </c>
      <c r="V22" s="684">
        <f>DATOS!$W91/DATOS!$W$154</f>
        <v>0</v>
      </c>
      <c r="W22" s="684">
        <f>DATOS!$X91/DATOS!$X$154</f>
        <v>0</v>
      </c>
      <c r="X22" s="684">
        <f>DATOS!$Y91/DATOS!$Y$154</f>
        <v>0</v>
      </c>
      <c r="Y22" s="684">
        <f>DATOS!$Z91/DATOS!$Z$154</f>
        <v>0</v>
      </c>
      <c r="Z22" s="1125">
        <f t="shared" si="0"/>
        <v>0</v>
      </c>
      <c r="AA22" s="1125">
        <f t="shared" si="1"/>
        <v>0</v>
      </c>
    </row>
    <row r="23" spans="1:27" ht="14.25" customHeight="1" x14ac:dyDescent="0.2">
      <c r="A23" s="170" t="s">
        <v>653</v>
      </c>
      <c r="B23" s="1239">
        <f>DATOS!$C92/DATOS!$C$154</f>
        <v>0</v>
      </c>
      <c r="C23" s="1239">
        <f>DATOS!$D92/DATOS!$D$154</f>
        <v>0</v>
      </c>
      <c r="D23" s="1239">
        <f>DATOS!$E92/DATOS!$E$154</f>
        <v>0</v>
      </c>
      <c r="E23" s="1239">
        <f>DATOS!$F92/DATOS!$F$154</f>
        <v>0</v>
      </c>
      <c r="F23" s="1239">
        <f>DATOS!$G92/DATOS!$G$154</f>
        <v>0</v>
      </c>
      <c r="G23" s="1239">
        <f>DATOS!$H92/DATOS!$H$154</f>
        <v>0</v>
      </c>
      <c r="H23" s="684">
        <f>DATOS!$I92/DATOS!$I$154</f>
        <v>0</v>
      </c>
      <c r="I23" s="684">
        <f>DATOS!$J92/DATOS!$J$154</f>
        <v>0</v>
      </c>
      <c r="J23" s="684">
        <f>DATOS!$K92/DATOS!$K$154</f>
        <v>0</v>
      </c>
      <c r="K23" s="684">
        <f>DATOS!$L92/DATOS!$L$154</f>
        <v>0</v>
      </c>
      <c r="L23" s="684">
        <f>DATOS!$M92/DATOS!$M$154</f>
        <v>0</v>
      </c>
      <c r="M23" s="684">
        <f>DATOS!$N92/DATOS!$N$154</f>
        <v>0</v>
      </c>
      <c r="N23" s="684">
        <f>DATOS!$O92/DATOS!$O$154</f>
        <v>0</v>
      </c>
      <c r="O23" s="684">
        <f>DATOS!$P92/DATOS!$P$154</f>
        <v>0</v>
      </c>
      <c r="P23" s="684">
        <f>DATOS!$Q92/DATOS!$Q$154</f>
        <v>0</v>
      </c>
      <c r="Q23" s="684">
        <f>DATOS!$R92/DATOS!$R$154</f>
        <v>0</v>
      </c>
      <c r="R23" s="684">
        <f>DATOS!$S92/DATOS!$S$154</f>
        <v>0</v>
      </c>
      <c r="S23" s="684">
        <f>DATOS!$T92/DATOS!$T$154</f>
        <v>0</v>
      </c>
      <c r="T23" s="684">
        <f>DATOS!$U92/DATOS!$U$154</f>
        <v>0</v>
      </c>
      <c r="U23" s="684">
        <f>DATOS!$V92/DATOS!$V$154</f>
        <v>0</v>
      </c>
      <c r="V23" s="684">
        <f>DATOS!$W92/DATOS!$W$154</f>
        <v>0</v>
      </c>
      <c r="W23" s="684">
        <f>DATOS!$X92/DATOS!$X$154</f>
        <v>0</v>
      </c>
      <c r="X23" s="684">
        <f>DATOS!$Y92/DATOS!$Y$154</f>
        <v>0</v>
      </c>
      <c r="Y23" s="684">
        <f>DATOS!$Z92/DATOS!$Z$154</f>
        <v>0</v>
      </c>
      <c r="Z23" s="1125">
        <f t="shared" si="0"/>
        <v>0</v>
      </c>
      <c r="AA23" s="1125">
        <f t="shared" si="1"/>
        <v>0</v>
      </c>
    </row>
    <row r="24" spans="1:27" x14ac:dyDescent="0.2">
      <c r="A24" s="170" t="s">
        <v>280</v>
      </c>
      <c r="B24" s="1239">
        <f>DATOS!$C93/DATOS!$C$154</f>
        <v>0</v>
      </c>
      <c r="C24" s="1239">
        <f>DATOS!$D93/DATOS!$D$154</f>
        <v>0</v>
      </c>
      <c r="D24" s="1239">
        <f>DATOS!$E93/DATOS!$E$154</f>
        <v>0</v>
      </c>
      <c r="E24" s="1239">
        <f>DATOS!$F93/DATOS!$F$154</f>
        <v>0</v>
      </c>
      <c r="F24" s="1239">
        <f>DATOS!$G93/DATOS!$G$154</f>
        <v>0</v>
      </c>
      <c r="G24" s="1239">
        <f>DATOS!$H93/DATOS!$H$154</f>
        <v>0</v>
      </c>
      <c r="H24" s="684">
        <f>DATOS!$I93/DATOS!$I$154</f>
        <v>0</v>
      </c>
      <c r="I24" s="684">
        <f>DATOS!$J93/DATOS!$J$154</f>
        <v>0</v>
      </c>
      <c r="J24" s="684">
        <f>DATOS!$K93/DATOS!$K$154</f>
        <v>0</v>
      </c>
      <c r="K24" s="684">
        <f>DATOS!$L93/DATOS!$L$154</f>
        <v>0</v>
      </c>
      <c r="L24" s="684">
        <f>DATOS!$M93/DATOS!$M$154</f>
        <v>0</v>
      </c>
      <c r="M24" s="684">
        <f>DATOS!$N93/DATOS!$N$154</f>
        <v>0</v>
      </c>
      <c r="N24" s="684">
        <f>DATOS!$O93/DATOS!$O$154</f>
        <v>0</v>
      </c>
      <c r="O24" s="684">
        <f>DATOS!$P93/DATOS!$P$154</f>
        <v>0</v>
      </c>
      <c r="P24" s="684">
        <f>DATOS!$Q93/DATOS!$Q$154</f>
        <v>0</v>
      </c>
      <c r="Q24" s="684">
        <f>DATOS!$R93/DATOS!$R$154</f>
        <v>0</v>
      </c>
      <c r="R24" s="684">
        <f>DATOS!$S93/DATOS!$S$154</f>
        <v>0</v>
      </c>
      <c r="S24" s="684">
        <f>DATOS!$T93/DATOS!$T$154</f>
        <v>0</v>
      </c>
      <c r="T24" s="684">
        <f>DATOS!$U93/DATOS!$U$154</f>
        <v>0</v>
      </c>
      <c r="U24" s="684">
        <f>DATOS!$V93/DATOS!$V$154</f>
        <v>0</v>
      </c>
      <c r="V24" s="684">
        <f>DATOS!$W93/DATOS!$W$154</f>
        <v>0</v>
      </c>
      <c r="W24" s="684">
        <f>DATOS!$X93/DATOS!$X$154</f>
        <v>0</v>
      </c>
      <c r="X24" s="684">
        <f>DATOS!$Y93/DATOS!$Y$154</f>
        <v>0</v>
      </c>
      <c r="Y24" s="684">
        <f>DATOS!$Z93/DATOS!$Z$154</f>
        <v>0</v>
      </c>
      <c r="Z24" s="1125">
        <f t="shared" si="0"/>
        <v>0</v>
      </c>
      <c r="AA24" s="1125">
        <f t="shared" si="1"/>
        <v>0</v>
      </c>
    </row>
    <row r="25" spans="1:27" x14ac:dyDescent="0.2">
      <c r="A25" s="170" t="s">
        <v>654</v>
      </c>
      <c r="B25" s="684">
        <f>DATOS!$C94/DATOS!$C$154</f>
        <v>3.3554232502417694E-2</v>
      </c>
      <c r="C25" s="1239">
        <f>DATOS!$D94/DATOS!$D$154</f>
        <v>0</v>
      </c>
      <c r="D25" s="684">
        <f>DATOS!$E94/DATOS!$E$154</f>
        <v>2.7597365025209347E-2</v>
      </c>
      <c r="E25" s="1239">
        <f>DATOS!$F94/DATOS!$F$154</f>
        <v>0</v>
      </c>
      <c r="F25" s="684">
        <f>DATOS!$G94/DATOS!$G$154</f>
        <v>2.7551158536838823E-2</v>
      </c>
      <c r="G25" s="1239">
        <f>DATOS!$H94/DATOS!$H$154</f>
        <v>0</v>
      </c>
      <c r="H25" s="684">
        <f>DATOS!$I94/DATOS!$I$154</f>
        <v>2.5058004944046194E-2</v>
      </c>
      <c r="I25" s="684">
        <f>DATOS!$J94/DATOS!$J$154</f>
        <v>0</v>
      </c>
      <c r="J25" s="684">
        <f>DATOS!$K94/DATOS!$K$154</f>
        <v>3.513573020148722E-2</v>
      </c>
      <c r="K25" s="684">
        <f>DATOS!$L94/DATOS!$L$154</f>
        <v>0</v>
      </c>
      <c r="L25" s="684">
        <f>DATOS!$M94/DATOS!$M$154</f>
        <v>2.2835819418543041E-2</v>
      </c>
      <c r="M25" s="684">
        <f>DATOS!$N94/DATOS!$N$154</f>
        <v>0</v>
      </c>
      <c r="N25" s="684">
        <f>DATOS!$O94/DATOS!$O$154</f>
        <v>3.1699967822788812E-2</v>
      </c>
      <c r="O25" s="684">
        <f>DATOS!$P94/DATOS!$P$154</f>
        <v>0</v>
      </c>
      <c r="P25" s="684">
        <f>DATOS!$Q94/DATOS!$Q$154</f>
        <v>3.116107158415125E-2</v>
      </c>
      <c r="Q25" s="684">
        <f>DATOS!$R94/DATOS!$R$154</f>
        <v>0</v>
      </c>
      <c r="R25" s="684">
        <f>DATOS!$S94/DATOS!$S$154</f>
        <v>3.4330025338488224E-2</v>
      </c>
      <c r="S25" s="684">
        <f>DATOS!$T94/DATOS!$T$154</f>
        <v>0</v>
      </c>
      <c r="T25" s="684">
        <f>DATOS!$U94/DATOS!$U$154</f>
        <v>3.7959944031476539E-2</v>
      </c>
      <c r="U25" s="684">
        <f>DATOS!$V94/DATOS!$V$154</f>
        <v>0</v>
      </c>
      <c r="V25" s="684">
        <f>DATOS!$W94/DATOS!$W$154</f>
        <v>3.6331414465792425E-2</v>
      </c>
      <c r="W25" s="684">
        <f>DATOS!$X94/DATOS!$X$154</f>
        <v>0</v>
      </c>
      <c r="X25" s="684">
        <f>DATOS!$Y94/DATOS!$Y$154</f>
        <v>4.9641623205018685E-2</v>
      </c>
      <c r="Y25" s="684">
        <f>DATOS!$Z94/DATOS!$Z$154</f>
        <v>0</v>
      </c>
      <c r="Z25" s="1125">
        <f t="shared" si="0"/>
        <v>3.2738029756354849E-2</v>
      </c>
      <c r="AA25" s="1125">
        <f t="shared" si="1"/>
        <v>0</v>
      </c>
    </row>
    <row r="26" spans="1:27" x14ac:dyDescent="0.2">
      <c r="A26" s="1122" t="s">
        <v>752</v>
      </c>
      <c r="B26" s="684">
        <f>DATOS!$C95/DATOS!$C$154</f>
        <v>0</v>
      </c>
      <c r="C26" s="684">
        <f>DATOS!$D95/DATOS!$D$154</f>
        <v>1</v>
      </c>
      <c r="D26" s="1239">
        <f>DATOS!$E95/DATOS!$E$154</f>
        <v>0</v>
      </c>
      <c r="E26" s="684">
        <f>DATOS!$F95/DATOS!$F$154</f>
        <v>1</v>
      </c>
      <c r="F26" s="1239">
        <f>DATOS!$G95/DATOS!$G$154</f>
        <v>2.3314054959360348E-3</v>
      </c>
      <c r="G26" s="684">
        <f>DATOS!$H95/DATOS!$H$154</f>
        <v>1</v>
      </c>
      <c r="H26" s="684">
        <f>DATOS!$I95/DATOS!$I$154</f>
        <v>0</v>
      </c>
      <c r="I26" s="684">
        <f>DATOS!$J95/DATOS!$J$154</f>
        <v>1</v>
      </c>
      <c r="J26" s="684">
        <f>DATOS!$K95/DATOS!$K$154</f>
        <v>0</v>
      </c>
      <c r="K26" s="684">
        <f>DATOS!$L95/DATOS!$L$154</f>
        <v>1</v>
      </c>
      <c r="L26" s="684">
        <f>DATOS!$M95/DATOS!$M$154</f>
        <v>0</v>
      </c>
      <c r="M26" s="684">
        <f>DATOS!$N95/DATOS!$N$154</f>
        <v>1</v>
      </c>
      <c r="N26" s="684">
        <f>DATOS!$O95/DATOS!$O$154</f>
        <v>0</v>
      </c>
      <c r="O26" s="684">
        <f>DATOS!$P95/DATOS!$P$154</f>
        <v>1</v>
      </c>
      <c r="P26" s="684">
        <f>DATOS!$Q95/DATOS!$Q$154</f>
        <v>0</v>
      </c>
      <c r="Q26" s="684">
        <f>DATOS!$R95/DATOS!$R$154</f>
        <v>1</v>
      </c>
      <c r="R26" s="684">
        <f>DATOS!$S95/DATOS!$S$154</f>
        <v>0</v>
      </c>
      <c r="S26" s="684">
        <f>DATOS!$T95/DATOS!$T$154</f>
        <v>1</v>
      </c>
      <c r="T26" s="684">
        <f>DATOS!$U95/DATOS!$U$154</f>
        <v>0</v>
      </c>
      <c r="U26" s="684">
        <f>DATOS!$V95/DATOS!$V$154</f>
        <v>1</v>
      </c>
      <c r="V26" s="684">
        <f>DATOS!$W95/DATOS!$W$154</f>
        <v>0</v>
      </c>
      <c r="W26" s="684">
        <f>DATOS!$X95/DATOS!$X$154</f>
        <v>1</v>
      </c>
      <c r="X26" s="684">
        <f>DATOS!$Y95/DATOS!$Y$154</f>
        <v>1.5567248274073109E-2</v>
      </c>
      <c r="Y26" s="684">
        <f>DATOS!$Z95/DATOS!$Z$154</f>
        <v>1</v>
      </c>
      <c r="Z26" s="1125">
        <f t="shared" si="0"/>
        <v>1.4915544808340954E-3</v>
      </c>
      <c r="AA26" s="1125">
        <f t="shared" si="1"/>
        <v>1</v>
      </c>
    </row>
    <row r="27" spans="1:27" x14ac:dyDescent="0.2">
      <c r="A27" s="170" t="s">
        <v>175</v>
      </c>
      <c r="B27" s="684">
        <f>DATOS!$C96/DATOS!$C$154</f>
        <v>0</v>
      </c>
      <c r="C27" s="1239">
        <f>DATOS!$D96/DATOS!$D$154</f>
        <v>0</v>
      </c>
      <c r="D27" s="684">
        <f>DATOS!$E96/DATOS!$E$154</f>
        <v>0</v>
      </c>
      <c r="E27" s="1239">
        <f>DATOS!$F96/DATOS!$F$154</f>
        <v>0</v>
      </c>
      <c r="F27" s="684">
        <f>DATOS!$G96/DATOS!$G$154</f>
        <v>1.1268459897024167E-4</v>
      </c>
      <c r="G27" s="1239">
        <f>DATOS!$H96/DATOS!$H$154</f>
        <v>0</v>
      </c>
      <c r="H27" s="684">
        <f>DATOS!$I96/DATOS!$I$154</f>
        <v>0</v>
      </c>
      <c r="I27" s="684">
        <f>DATOS!$J96/DATOS!$J$154</f>
        <v>0</v>
      </c>
      <c r="J27" s="684">
        <f>DATOS!$K96/DATOS!$K$154</f>
        <v>0</v>
      </c>
      <c r="K27" s="684">
        <f>DATOS!$L96/DATOS!$L$154</f>
        <v>0</v>
      </c>
      <c r="L27" s="684">
        <f>DATOS!$M96/DATOS!$M$154</f>
        <v>0</v>
      </c>
      <c r="M27" s="684">
        <f>DATOS!$N96/DATOS!$N$154</f>
        <v>0</v>
      </c>
      <c r="N27" s="684">
        <f>DATOS!$O96/DATOS!$O$154</f>
        <v>0</v>
      </c>
      <c r="O27" s="684">
        <f>DATOS!$P96/DATOS!$P$154</f>
        <v>0</v>
      </c>
      <c r="P27" s="684">
        <f>DATOS!$Q96/DATOS!$Q$154</f>
        <v>0</v>
      </c>
      <c r="Q27" s="684">
        <f>DATOS!$R96/DATOS!$R$154</f>
        <v>0</v>
      </c>
      <c r="R27" s="684">
        <f>DATOS!$S96/DATOS!$S$154</f>
        <v>0</v>
      </c>
      <c r="S27" s="684">
        <f>DATOS!$T96/DATOS!$T$154</f>
        <v>0</v>
      </c>
      <c r="T27" s="684">
        <f>DATOS!$U96/DATOS!$U$154</f>
        <v>0</v>
      </c>
      <c r="U27" s="684">
        <f>DATOS!$V96/DATOS!$V$154</f>
        <v>0</v>
      </c>
      <c r="V27" s="684">
        <f>DATOS!$W96/DATOS!$W$154</f>
        <v>0</v>
      </c>
      <c r="W27" s="684">
        <f>DATOS!$X96/DATOS!$X$154</f>
        <v>0</v>
      </c>
      <c r="X27" s="684">
        <f>DATOS!$Y96/DATOS!$Y$154</f>
        <v>0</v>
      </c>
      <c r="Y27" s="684">
        <f>DATOS!$Z96/DATOS!$Z$154</f>
        <v>0</v>
      </c>
      <c r="Z27" s="1125">
        <f t="shared" si="0"/>
        <v>9.3903832475201399E-6</v>
      </c>
      <c r="AA27" s="1125">
        <f t="shared" si="1"/>
        <v>0</v>
      </c>
    </row>
    <row r="28" spans="1:27" x14ac:dyDescent="0.2">
      <c r="A28" s="170" t="s">
        <v>174</v>
      </c>
      <c r="B28" s="1239">
        <f>DATOS!$C97/DATOS!$C$154</f>
        <v>0</v>
      </c>
      <c r="C28" s="1239">
        <f>DATOS!$D97/DATOS!$D$154</f>
        <v>0</v>
      </c>
      <c r="D28" s="1239">
        <f>DATOS!$E97/DATOS!$E$154</f>
        <v>0</v>
      </c>
      <c r="E28" s="1239">
        <f>DATOS!$F97/DATOS!$F$154</f>
        <v>0</v>
      </c>
      <c r="F28" s="1239">
        <f>DATOS!$G97/DATOS!$G$154</f>
        <v>0</v>
      </c>
      <c r="G28" s="1239">
        <f>DATOS!$H97/DATOS!$H$154</f>
        <v>0</v>
      </c>
      <c r="H28" s="684">
        <f>DATOS!$I97/DATOS!$I$154</f>
        <v>0</v>
      </c>
      <c r="I28" s="684">
        <f>DATOS!$J97/DATOS!$J$154</f>
        <v>0</v>
      </c>
      <c r="J28" s="684">
        <f>DATOS!$K97/DATOS!$K$154</f>
        <v>0</v>
      </c>
      <c r="K28" s="684">
        <f>DATOS!$L97/DATOS!$L$154</f>
        <v>0</v>
      </c>
      <c r="L28" s="684">
        <f>DATOS!$M97/DATOS!$M$154</f>
        <v>0</v>
      </c>
      <c r="M28" s="684">
        <f>DATOS!$N97/DATOS!$N$154</f>
        <v>0</v>
      </c>
      <c r="N28" s="684">
        <f>DATOS!$O97/DATOS!$O$154</f>
        <v>0</v>
      </c>
      <c r="O28" s="684">
        <f>DATOS!$P97/DATOS!$P$154</f>
        <v>0</v>
      </c>
      <c r="P28" s="684">
        <f>DATOS!$Q97/DATOS!$Q$154</f>
        <v>0</v>
      </c>
      <c r="Q28" s="684">
        <f>DATOS!$R97/DATOS!$R$154</f>
        <v>0</v>
      </c>
      <c r="R28" s="684">
        <f>DATOS!$S97/DATOS!$S$154</f>
        <v>0</v>
      </c>
      <c r="S28" s="684">
        <f>DATOS!$T97/DATOS!$T$154</f>
        <v>0</v>
      </c>
      <c r="T28" s="684">
        <f>DATOS!$U97/DATOS!$U$154</f>
        <v>0</v>
      </c>
      <c r="U28" s="684">
        <f>DATOS!$V97/DATOS!$V$154</f>
        <v>0</v>
      </c>
      <c r="V28" s="684">
        <f>DATOS!$W97/DATOS!$W$154</f>
        <v>0</v>
      </c>
      <c r="W28" s="684">
        <f>DATOS!$X97/DATOS!$X$154</f>
        <v>0</v>
      </c>
      <c r="X28" s="684">
        <f>DATOS!$Y97/DATOS!$Y$154</f>
        <v>0</v>
      </c>
      <c r="Y28" s="684">
        <f>DATOS!$Z97/DATOS!$Z$154</f>
        <v>0</v>
      </c>
      <c r="Z28" s="1125">
        <f t="shared" si="0"/>
        <v>0</v>
      </c>
      <c r="AA28" s="1125">
        <f t="shared" si="1"/>
        <v>0</v>
      </c>
    </row>
    <row r="29" spans="1:27" x14ac:dyDescent="0.2">
      <c r="A29" s="170" t="s">
        <v>172</v>
      </c>
      <c r="B29" s="1239">
        <f>DATOS!$C98/DATOS!$C$154</f>
        <v>0</v>
      </c>
      <c r="C29" s="1239">
        <f>DATOS!$D98/DATOS!$D$154</f>
        <v>0</v>
      </c>
      <c r="D29" s="1239">
        <f>DATOS!$E98/DATOS!$E$154</f>
        <v>0</v>
      </c>
      <c r="E29" s="1239">
        <f>DATOS!$F98/DATOS!$F$154</f>
        <v>0</v>
      </c>
      <c r="F29" s="1239">
        <f>DATOS!$G98/DATOS!$G$154</f>
        <v>0</v>
      </c>
      <c r="G29" s="1239">
        <f>DATOS!$H98/DATOS!$H$154</f>
        <v>0</v>
      </c>
      <c r="H29" s="684">
        <f>DATOS!$I98/DATOS!$I$154</f>
        <v>0</v>
      </c>
      <c r="I29" s="684">
        <f>DATOS!$J98/DATOS!$J$154</f>
        <v>0</v>
      </c>
      <c r="J29" s="684">
        <f>DATOS!$K98/DATOS!$K$154</f>
        <v>0</v>
      </c>
      <c r="K29" s="684">
        <f>DATOS!$L98/DATOS!$L$154</f>
        <v>0</v>
      </c>
      <c r="L29" s="684">
        <f>DATOS!$M98/DATOS!$M$154</f>
        <v>0</v>
      </c>
      <c r="M29" s="684">
        <f>DATOS!$N98/DATOS!$N$154</f>
        <v>0</v>
      </c>
      <c r="N29" s="684">
        <f>DATOS!$O98/DATOS!$O$154</f>
        <v>0</v>
      </c>
      <c r="O29" s="684">
        <f>DATOS!$P98/DATOS!$P$154</f>
        <v>0</v>
      </c>
      <c r="P29" s="684">
        <f>DATOS!$Q98/DATOS!$Q$154</f>
        <v>0</v>
      </c>
      <c r="Q29" s="684">
        <f>DATOS!$R98/DATOS!$R$154</f>
        <v>0</v>
      </c>
      <c r="R29" s="684">
        <f>DATOS!$S98/DATOS!$S$154</f>
        <v>0</v>
      </c>
      <c r="S29" s="684">
        <f>DATOS!$T98/DATOS!$T$154</f>
        <v>0</v>
      </c>
      <c r="T29" s="684">
        <f>DATOS!$U98/DATOS!$U$154</f>
        <v>0</v>
      </c>
      <c r="U29" s="684">
        <f>DATOS!$V98/DATOS!$V$154</f>
        <v>0</v>
      </c>
      <c r="V29" s="684">
        <f>DATOS!$W98/DATOS!$W$154</f>
        <v>0</v>
      </c>
      <c r="W29" s="684">
        <f>DATOS!$X98/DATOS!$X$154</f>
        <v>0</v>
      </c>
      <c r="X29" s="684">
        <f>DATOS!$Y98/DATOS!$Y$154</f>
        <v>0</v>
      </c>
      <c r="Y29" s="684">
        <f>DATOS!$Z98/DATOS!$Z$154</f>
        <v>0</v>
      </c>
      <c r="Z29" s="1125">
        <f t="shared" si="0"/>
        <v>0</v>
      </c>
      <c r="AA29" s="1125">
        <f t="shared" si="1"/>
        <v>0</v>
      </c>
    </row>
    <row r="30" spans="1:27" x14ac:dyDescent="0.2">
      <c r="A30" s="170" t="s">
        <v>171</v>
      </c>
      <c r="B30" s="684">
        <f>DATOS!$C99/DATOS!$C$154</f>
        <v>2.0682694133105544E-3</v>
      </c>
      <c r="C30" s="1239">
        <f>DATOS!$D99/DATOS!$D$154</f>
        <v>0</v>
      </c>
      <c r="D30" s="1239">
        <f>DATOS!$E99/DATOS!$E$154</f>
        <v>8.9687149027806721E-4</v>
      </c>
      <c r="E30" s="1239">
        <f>DATOS!$F99/DATOS!$F$154</f>
        <v>0</v>
      </c>
      <c r="F30" s="684">
        <f>DATOS!$G99/DATOS!$G$154</f>
        <v>2.9494764548828753E-2</v>
      </c>
      <c r="G30" s="1239">
        <f>DATOS!$H99/DATOS!$H$154</f>
        <v>0</v>
      </c>
      <c r="H30" s="684">
        <f>DATOS!$I99/DATOS!$I$154</f>
        <v>1.3550037199076858E-2</v>
      </c>
      <c r="I30" s="684">
        <f>DATOS!$J99/DATOS!$J$154</f>
        <v>0</v>
      </c>
      <c r="J30" s="684">
        <f>DATOS!$K99/DATOS!$K$154</f>
        <v>4.1717114132053888E-2</v>
      </c>
      <c r="K30" s="684">
        <f>DATOS!$L99/DATOS!$L$154</f>
        <v>0</v>
      </c>
      <c r="L30" s="684">
        <f>DATOS!$M99/DATOS!$M$154</f>
        <v>1.7712713644745956E-2</v>
      </c>
      <c r="M30" s="684">
        <f>DATOS!$N99/DATOS!$N$154</f>
        <v>0</v>
      </c>
      <c r="N30" s="684">
        <f>DATOS!$O99/DATOS!$O$154</f>
        <v>1.3578048804643911E-3</v>
      </c>
      <c r="O30" s="684">
        <f>DATOS!$P99/DATOS!$P$154</f>
        <v>0</v>
      </c>
      <c r="P30" s="684">
        <f>DATOS!$Q99/DATOS!$Q$154</f>
        <v>0</v>
      </c>
      <c r="Q30" s="684">
        <f>DATOS!$R99/DATOS!$R$154</f>
        <v>0</v>
      </c>
      <c r="R30" s="684">
        <f>DATOS!$S99/DATOS!$S$154</f>
        <v>3.7422817576045583E-2</v>
      </c>
      <c r="S30" s="684">
        <f>DATOS!$T99/DATOS!$T$154</f>
        <v>0</v>
      </c>
      <c r="T30" s="684">
        <f>DATOS!$U99/DATOS!$U$154</f>
        <v>6.8463629685532379E-2</v>
      </c>
      <c r="U30" s="684">
        <f>DATOS!$V99/DATOS!$V$154</f>
        <v>0</v>
      </c>
      <c r="V30" s="684">
        <f>DATOS!$W99/DATOS!$W$154</f>
        <v>5.0914026144240662E-2</v>
      </c>
      <c r="W30" s="684">
        <f>DATOS!$X99/DATOS!$X$154</f>
        <v>0</v>
      </c>
      <c r="X30" s="684">
        <f>DATOS!$Y99/DATOS!$Y$154</f>
        <v>-9.4147452027593776E-4</v>
      </c>
      <c r="Y30" s="684">
        <f>DATOS!$Z99/DATOS!$Z$154</f>
        <v>0</v>
      </c>
      <c r="Z30" s="1125">
        <f t="shared" si="0"/>
        <v>2.1888047849525097E-2</v>
      </c>
      <c r="AA30" s="1125">
        <f t="shared" si="1"/>
        <v>0</v>
      </c>
    </row>
    <row r="31" spans="1:27" x14ac:dyDescent="0.2">
      <c r="A31" s="170" t="s">
        <v>424</v>
      </c>
      <c r="B31" s="1239">
        <f>DATOS!$C100/DATOS!$C$154</f>
        <v>3.1871142621979351E-4</v>
      </c>
      <c r="C31" s="1239">
        <f>DATOS!$D100/DATOS!$D$154</f>
        <v>0</v>
      </c>
      <c r="D31" s="1239">
        <f>DATOS!$E100/DATOS!$E$154</f>
        <v>3.5320879501053536E-4</v>
      </c>
      <c r="E31" s="1239">
        <f>DATOS!$F100/DATOS!$F$154</f>
        <v>0</v>
      </c>
      <c r="F31" s="1239">
        <f>DATOS!$G100/DATOS!$G$154</f>
        <v>0</v>
      </c>
      <c r="G31" s="1239">
        <f>DATOS!$H100/DATOS!$H$154</f>
        <v>0</v>
      </c>
      <c r="H31" s="684">
        <f>DATOS!$I100/DATOS!$I$154</f>
        <v>0</v>
      </c>
      <c r="I31" s="684">
        <f>DATOS!$J100/DATOS!$J$154</f>
        <v>0</v>
      </c>
      <c r="J31" s="684">
        <f>DATOS!$K100/DATOS!$K$154</f>
        <v>9.1555348279958107E-4</v>
      </c>
      <c r="K31" s="684">
        <f>DATOS!$L100/DATOS!$L$154</f>
        <v>0</v>
      </c>
      <c r="L31" s="684">
        <f>DATOS!$M100/DATOS!$M$154</f>
        <v>0</v>
      </c>
      <c r="M31" s="684">
        <f>DATOS!$N100/DATOS!$N$154</f>
        <v>0</v>
      </c>
      <c r="N31" s="684">
        <f>DATOS!$O100/DATOS!$O$154</f>
        <v>0</v>
      </c>
      <c r="O31" s="684">
        <f>DATOS!$P100/DATOS!$P$154</f>
        <v>0</v>
      </c>
      <c r="P31" s="684">
        <f>DATOS!$Q100/DATOS!$Q$154</f>
        <v>0</v>
      </c>
      <c r="Q31" s="684">
        <f>DATOS!$R100/DATOS!$R$154</f>
        <v>0</v>
      </c>
      <c r="R31" s="684">
        <f>DATOS!$S100/DATOS!$S$154</f>
        <v>9.9685067988856588E-4</v>
      </c>
      <c r="S31" s="684">
        <f>DATOS!$T100/DATOS!$T$154</f>
        <v>0</v>
      </c>
      <c r="T31" s="684">
        <f>DATOS!$U100/DATOS!$U$154</f>
        <v>0</v>
      </c>
      <c r="U31" s="684">
        <f>DATOS!$V100/DATOS!$V$154</f>
        <v>0</v>
      </c>
      <c r="V31" s="684">
        <f>DATOS!$W100/DATOS!$W$154</f>
        <v>3.0515787884919022E-4</v>
      </c>
      <c r="W31" s="684">
        <f>DATOS!$X100/DATOS!$X$154</f>
        <v>0</v>
      </c>
      <c r="X31" s="684">
        <f>DATOS!$Y100/DATOS!$Y$154</f>
        <v>5.3148720534331383E-4</v>
      </c>
      <c r="Y31" s="684">
        <f>DATOS!$Z100/DATOS!$Z$154</f>
        <v>0</v>
      </c>
      <c r="Z31" s="1125">
        <f t="shared" si="0"/>
        <v>2.8508078900924835E-4</v>
      </c>
      <c r="AA31" s="1125">
        <f t="shared" si="1"/>
        <v>0</v>
      </c>
    </row>
    <row r="32" spans="1:27" x14ac:dyDescent="0.2">
      <c r="A32" s="170" t="s">
        <v>170</v>
      </c>
      <c r="B32" s="1239">
        <f>DATOS!$C101/DATOS!$C$154</f>
        <v>0</v>
      </c>
      <c r="C32" s="1239">
        <f>DATOS!$D101/DATOS!$D$154</f>
        <v>0</v>
      </c>
      <c r="D32" s="1239">
        <f>DATOS!$E101/DATOS!$E$154</f>
        <v>0</v>
      </c>
      <c r="E32" s="1239">
        <f>DATOS!$F101/DATOS!$F$154</f>
        <v>0</v>
      </c>
      <c r="F32" s="1239">
        <f>DATOS!$G101/DATOS!$G$154</f>
        <v>0</v>
      </c>
      <c r="G32" s="1239">
        <f>DATOS!$H101/DATOS!$H$154</f>
        <v>0</v>
      </c>
      <c r="H32" s="684">
        <f>DATOS!$I101/DATOS!$I$154</f>
        <v>0</v>
      </c>
      <c r="I32" s="684">
        <f>DATOS!$J101/DATOS!$J$154</f>
        <v>0</v>
      </c>
      <c r="J32" s="684">
        <f>DATOS!$K101/DATOS!$K$154</f>
        <v>0</v>
      </c>
      <c r="K32" s="684">
        <f>DATOS!$L101/DATOS!$L$154</f>
        <v>0</v>
      </c>
      <c r="L32" s="684">
        <f>DATOS!$M101/DATOS!$M$154</f>
        <v>0</v>
      </c>
      <c r="M32" s="684">
        <f>DATOS!$N101/DATOS!$N$154</f>
        <v>0</v>
      </c>
      <c r="N32" s="684">
        <f>DATOS!$O101/DATOS!$O$154</f>
        <v>0</v>
      </c>
      <c r="O32" s="684">
        <f>DATOS!$P101/DATOS!$P$154</f>
        <v>0</v>
      </c>
      <c r="P32" s="684">
        <f>DATOS!$Q101/DATOS!$Q$154</f>
        <v>0</v>
      </c>
      <c r="Q32" s="684">
        <f>DATOS!$R101/DATOS!$R$154</f>
        <v>0</v>
      </c>
      <c r="R32" s="684">
        <f>DATOS!$S101/DATOS!$S$154</f>
        <v>0</v>
      </c>
      <c r="S32" s="684">
        <f>DATOS!$T101/DATOS!$T$154</f>
        <v>0</v>
      </c>
      <c r="T32" s="684">
        <f>DATOS!$U101/DATOS!$U$154</f>
        <v>0</v>
      </c>
      <c r="U32" s="684">
        <f>DATOS!$V101/DATOS!$V$154</f>
        <v>0</v>
      </c>
      <c r="V32" s="684">
        <f>DATOS!$W101/DATOS!$W$154</f>
        <v>0</v>
      </c>
      <c r="W32" s="684">
        <f>DATOS!$X101/DATOS!$X$154</f>
        <v>0</v>
      </c>
      <c r="X32" s="684">
        <f>DATOS!$Y101/DATOS!$Y$154</f>
        <v>0</v>
      </c>
      <c r="Y32" s="684">
        <f>DATOS!$Z101/DATOS!$Z$154</f>
        <v>0</v>
      </c>
      <c r="Z32" s="1125">
        <f t="shared" si="0"/>
        <v>0</v>
      </c>
      <c r="AA32" s="1125">
        <f t="shared" si="1"/>
        <v>0</v>
      </c>
    </row>
    <row r="33" spans="1:27" x14ac:dyDescent="0.2">
      <c r="A33" s="170" t="s">
        <v>650</v>
      </c>
      <c r="B33" s="1239">
        <f>DATOS!$C102/DATOS!$C$154</f>
        <v>0</v>
      </c>
      <c r="C33" s="1239">
        <f>DATOS!$D102/DATOS!$D$154</f>
        <v>0</v>
      </c>
      <c r="D33" s="1239">
        <f>DATOS!$E102/DATOS!$E$154</f>
        <v>0</v>
      </c>
      <c r="E33" s="1239">
        <f>DATOS!$F102/DATOS!$F$154</f>
        <v>0</v>
      </c>
      <c r="F33" s="1239">
        <f>DATOS!$G102/DATOS!$G$154</f>
        <v>0</v>
      </c>
      <c r="G33" s="1239">
        <f>DATOS!$H102/DATOS!$H$154</f>
        <v>0</v>
      </c>
      <c r="H33" s="684">
        <f>DATOS!$I102/DATOS!$I$154</f>
        <v>0</v>
      </c>
      <c r="I33" s="684">
        <f>DATOS!$J102/DATOS!$J$154</f>
        <v>0</v>
      </c>
      <c r="J33" s="684">
        <f>DATOS!$K102/DATOS!$K$154</f>
        <v>0</v>
      </c>
      <c r="K33" s="684">
        <f>DATOS!$L102/DATOS!$L$154</f>
        <v>0</v>
      </c>
      <c r="L33" s="684">
        <f>DATOS!$M102/DATOS!$M$154</f>
        <v>0</v>
      </c>
      <c r="M33" s="684">
        <f>DATOS!$N102/DATOS!$N$154</f>
        <v>0</v>
      </c>
      <c r="N33" s="684">
        <f>DATOS!$O102/DATOS!$O$154</f>
        <v>0</v>
      </c>
      <c r="O33" s="684">
        <f>DATOS!$P102/DATOS!$P$154</f>
        <v>0</v>
      </c>
      <c r="P33" s="684">
        <f>DATOS!$Q102/DATOS!$Q$154</f>
        <v>0</v>
      </c>
      <c r="Q33" s="684">
        <f>DATOS!$R102/DATOS!$R$154</f>
        <v>0</v>
      </c>
      <c r="R33" s="684">
        <f>DATOS!$S102/DATOS!$S$154</f>
        <v>0</v>
      </c>
      <c r="S33" s="684">
        <f>DATOS!$T102/DATOS!$T$154</f>
        <v>0</v>
      </c>
      <c r="T33" s="684">
        <f>DATOS!$U102/DATOS!$U$154</f>
        <v>0</v>
      </c>
      <c r="U33" s="684">
        <f>DATOS!$V102/DATOS!$V$154</f>
        <v>0</v>
      </c>
      <c r="V33" s="684">
        <f>DATOS!$W102/DATOS!$W$154</f>
        <v>0</v>
      </c>
      <c r="W33" s="684">
        <f>DATOS!$X102/DATOS!$X$154</f>
        <v>0</v>
      </c>
      <c r="X33" s="684">
        <f>DATOS!$Y102/DATOS!$Y$154</f>
        <v>0</v>
      </c>
      <c r="Y33" s="684">
        <f>DATOS!$Z102/DATOS!$Z$154</f>
        <v>0</v>
      </c>
      <c r="Z33" s="1125">
        <f t="shared" si="0"/>
        <v>0</v>
      </c>
      <c r="AA33" s="1125">
        <f t="shared" si="1"/>
        <v>0</v>
      </c>
    </row>
    <row r="34" spans="1:27" x14ac:dyDescent="0.2">
      <c r="A34" s="170" t="s">
        <v>641</v>
      </c>
      <c r="B34" s="1239">
        <f>DATOS!$C103/DATOS!$C$154</f>
        <v>0</v>
      </c>
      <c r="C34" s="1239">
        <f>DATOS!$D103/DATOS!$D$154</f>
        <v>0</v>
      </c>
      <c r="D34" s="1239">
        <f>DATOS!$E103/DATOS!$E$154</f>
        <v>0</v>
      </c>
      <c r="E34" s="1239">
        <f>DATOS!$F103/DATOS!$F$154</f>
        <v>0</v>
      </c>
      <c r="F34" s="1239">
        <f>DATOS!$G103/DATOS!$G$154</f>
        <v>8.1746938403724594E-3</v>
      </c>
      <c r="G34" s="1239">
        <f>DATOS!$H103/DATOS!$H$154</f>
        <v>0</v>
      </c>
      <c r="H34" s="684">
        <f>DATOS!$I103/DATOS!$I$154</f>
        <v>0</v>
      </c>
      <c r="I34" s="684">
        <f>DATOS!$J103/DATOS!$J$154</f>
        <v>0</v>
      </c>
      <c r="J34" s="684">
        <f>DATOS!$K103/DATOS!$K$154</f>
        <v>2.1940837656746873E-2</v>
      </c>
      <c r="K34" s="684">
        <f>DATOS!$L103/DATOS!$L$154</f>
        <v>0</v>
      </c>
      <c r="L34" s="684">
        <f>DATOS!$M103/DATOS!$M$154</f>
        <v>0</v>
      </c>
      <c r="M34" s="684">
        <f>DATOS!$N103/DATOS!$N$154</f>
        <v>0</v>
      </c>
      <c r="N34" s="684">
        <f>DATOS!$O103/DATOS!$O$154</f>
        <v>1.0993505102891021E-2</v>
      </c>
      <c r="O34" s="684">
        <f>DATOS!$P103/DATOS!$P$154</f>
        <v>0</v>
      </c>
      <c r="P34" s="684">
        <f>DATOS!$Q103/DATOS!$Q$154</f>
        <v>8.5715671799827114E-3</v>
      </c>
      <c r="Q34" s="684">
        <f>DATOS!$R103/DATOS!$R$154</f>
        <v>0</v>
      </c>
      <c r="R34" s="684">
        <f>DATOS!$S103/DATOS!$S$154</f>
        <v>1.8659833665943582E-2</v>
      </c>
      <c r="S34" s="684">
        <f>DATOS!$T103/DATOS!$T$154</f>
        <v>0</v>
      </c>
      <c r="T34" s="684">
        <f>DATOS!$U103/DATOS!$U$154</f>
        <v>4.9435573992503549E-5</v>
      </c>
      <c r="U34" s="684">
        <f>DATOS!$V103/DATOS!$V$154</f>
        <v>0</v>
      </c>
      <c r="V34" s="684">
        <f>DATOS!$W103/DATOS!$W$154</f>
        <v>2.1791886261555396E-3</v>
      </c>
      <c r="W34" s="684">
        <f>DATOS!$X103/DATOS!$X$154</f>
        <v>0</v>
      </c>
      <c r="X34" s="684">
        <f>DATOS!$Y103/DATOS!$Y$154</f>
        <v>2.986670803648157E-2</v>
      </c>
      <c r="Y34" s="684">
        <f>DATOS!$Z103/DATOS!$Z$154</f>
        <v>0</v>
      </c>
      <c r="Z34" s="1125">
        <f t="shared" si="0"/>
        <v>8.3696474735471902E-3</v>
      </c>
      <c r="AA34" s="1125">
        <f t="shared" si="1"/>
        <v>0</v>
      </c>
    </row>
    <row r="35" spans="1:27" x14ac:dyDescent="0.2">
      <c r="A35" s="170" t="s">
        <v>166</v>
      </c>
      <c r="B35" s="684">
        <f>DATOS!$C104/DATOS!$C$154</f>
        <v>1.1560753757555295E-2</v>
      </c>
      <c r="C35" s="684">
        <f>DATOS!$D104/DATOS!$D$154</f>
        <v>0</v>
      </c>
      <c r="D35" s="684">
        <f>DATOS!$E104/DATOS!$E$154</f>
        <v>1.1555225728769665E-2</v>
      </c>
      <c r="E35" s="684">
        <f>DATOS!$F104/DATOS!$F$154</f>
        <v>0</v>
      </c>
      <c r="F35" s="684">
        <f>DATOS!$G104/DATOS!$G$154</f>
        <v>1.5030020008519569E-2</v>
      </c>
      <c r="G35" s="1239">
        <f>DATOS!$H104/DATOS!$H$154</f>
        <v>0</v>
      </c>
      <c r="H35" s="684">
        <f>DATOS!$I104/DATOS!$I$154</f>
        <v>6.3776924456238129E-3</v>
      </c>
      <c r="I35" s="684">
        <f>DATOS!$J104/DATOS!$J$154</f>
        <v>0</v>
      </c>
      <c r="J35" s="684">
        <f>DATOS!$K104/DATOS!$K$154</f>
        <v>1.2691257817491561E-2</v>
      </c>
      <c r="K35" s="684">
        <f>DATOS!$L104/DATOS!$L$154</f>
        <v>0</v>
      </c>
      <c r="L35" s="684">
        <f>DATOS!$M104/DATOS!$M$154</f>
        <v>8.5496715090260175E-3</v>
      </c>
      <c r="M35" s="684">
        <f>DATOS!$N104/DATOS!$N$154</f>
        <v>0</v>
      </c>
      <c r="N35" s="684">
        <f>DATOS!$O104/DATOS!$O$154</f>
        <v>1.0935808885692594E-2</v>
      </c>
      <c r="O35" s="684">
        <f>DATOS!$P104/DATOS!$P$154</f>
        <v>0</v>
      </c>
      <c r="P35" s="684">
        <f>DATOS!$Q104/DATOS!$Q$154</f>
        <v>1.9183991572978364E-2</v>
      </c>
      <c r="Q35" s="684">
        <f>DATOS!$R104/DATOS!$R$154</f>
        <v>0</v>
      </c>
      <c r="R35" s="684">
        <f>DATOS!$S104/DATOS!$S$154</f>
        <v>3.1737863552983047E-3</v>
      </c>
      <c r="S35" s="684">
        <f>DATOS!$T104/DATOS!$T$154</f>
        <v>0</v>
      </c>
      <c r="T35" s="684">
        <f>DATOS!$U104/DATOS!$U$154</f>
        <v>6.3721833734609159E-3</v>
      </c>
      <c r="U35" s="684">
        <f>DATOS!$V104/DATOS!$V$154</f>
        <v>0</v>
      </c>
      <c r="V35" s="684">
        <f>DATOS!$W104/DATOS!$W$154</f>
        <v>1.0536579576080297E-2</v>
      </c>
      <c r="W35" s="684">
        <f>DATOS!$X104/DATOS!$X$154</f>
        <v>0</v>
      </c>
      <c r="X35" s="684">
        <f>DATOS!$Y104/DATOS!$Y$154</f>
        <v>1.0583059419910446E-2</v>
      </c>
      <c r="Y35" s="684">
        <f>DATOS!$Z104/DATOS!$Z$154</f>
        <v>0</v>
      </c>
      <c r="Z35" s="1125">
        <f t="shared" si="0"/>
        <v>1.0545835870867238E-2</v>
      </c>
      <c r="AA35" s="1125">
        <f t="shared" si="1"/>
        <v>0</v>
      </c>
    </row>
    <row r="36" spans="1:27" x14ac:dyDescent="0.2">
      <c r="A36" s="170" t="s">
        <v>168</v>
      </c>
      <c r="B36" s="1239">
        <f>DATOS!$C105/DATOS!$C$154</f>
        <v>0</v>
      </c>
      <c r="C36" s="1239">
        <f>DATOS!$D105/DATOS!$D$154</f>
        <v>0</v>
      </c>
      <c r="D36" s="1239">
        <f>DATOS!$E105/DATOS!$E$154</f>
        <v>0</v>
      </c>
      <c r="E36" s="1239">
        <f>DATOS!$F105/DATOS!$F$154</f>
        <v>0</v>
      </c>
      <c r="F36" s="1239">
        <f>DATOS!$G105/DATOS!$G$154</f>
        <v>0</v>
      </c>
      <c r="G36" s="1239">
        <f>DATOS!$H105/DATOS!$H$154</f>
        <v>0</v>
      </c>
      <c r="H36" s="684">
        <f>DATOS!$I105/DATOS!$I$154</f>
        <v>0</v>
      </c>
      <c r="I36" s="684">
        <f>DATOS!$J105/DATOS!$J$154</f>
        <v>0</v>
      </c>
      <c r="J36" s="684">
        <f>DATOS!$K105/DATOS!$K$154</f>
        <v>0</v>
      </c>
      <c r="K36" s="684">
        <f>DATOS!$L105/DATOS!$L$154</f>
        <v>0</v>
      </c>
      <c r="L36" s="684">
        <f>DATOS!$M105/DATOS!$M$154</f>
        <v>0</v>
      </c>
      <c r="M36" s="684">
        <f>DATOS!$N105/DATOS!$N$154</f>
        <v>0</v>
      </c>
      <c r="N36" s="684">
        <f>DATOS!$O105/DATOS!$O$154</f>
        <v>0</v>
      </c>
      <c r="O36" s="684">
        <f>DATOS!$P105/DATOS!$P$154</f>
        <v>0</v>
      </c>
      <c r="P36" s="684">
        <f>DATOS!$Q105/DATOS!$Q$154</f>
        <v>0</v>
      </c>
      <c r="Q36" s="684">
        <f>DATOS!$R105/DATOS!$R$154</f>
        <v>0</v>
      </c>
      <c r="R36" s="684">
        <f>DATOS!$S105/DATOS!$S$154</f>
        <v>0</v>
      </c>
      <c r="S36" s="684">
        <f>DATOS!$T105/DATOS!$T$154</f>
        <v>0</v>
      </c>
      <c r="T36" s="684">
        <f>DATOS!$U105/DATOS!$U$154</f>
        <v>0</v>
      </c>
      <c r="U36" s="684">
        <f>DATOS!$V105/DATOS!$V$154</f>
        <v>0</v>
      </c>
      <c r="V36" s="684">
        <f>DATOS!$W105/DATOS!$W$154</f>
        <v>0</v>
      </c>
      <c r="W36" s="684">
        <f>DATOS!$X105/DATOS!$X$154</f>
        <v>0</v>
      </c>
      <c r="X36" s="684">
        <f>DATOS!$Y105/DATOS!$Y$154</f>
        <v>0</v>
      </c>
      <c r="Y36" s="684">
        <f>DATOS!$Z105/DATOS!$Z$154</f>
        <v>0</v>
      </c>
      <c r="Z36" s="1125">
        <f t="shared" si="0"/>
        <v>0</v>
      </c>
      <c r="AA36" s="1125">
        <f t="shared" si="1"/>
        <v>0</v>
      </c>
    </row>
    <row r="37" spans="1:27" x14ac:dyDescent="0.2">
      <c r="A37" s="1122" t="s">
        <v>753</v>
      </c>
      <c r="B37" s="684">
        <f>DATOS!$C106/DATOS!$C$154</f>
        <v>0</v>
      </c>
      <c r="C37" s="1239">
        <f>DATOS!$D106/DATOS!$D$154</f>
        <v>0</v>
      </c>
      <c r="D37" s="1239">
        <f>DATOS!$E106/DATOS!$E$154</f>
        <v>0</v>
      </c>
      <c r="E37" s="1239">
        <f>DATOS!$F106/DATOS!$F$154</f>
        <v>0</v>
      </c>
      <c r="F37" s="684">
        <f>DATOS!$G106/DATOS!$G$154</f>
        <v>0</v>
      </c>
      <c r="G37" s="1239">
        <f>DATOS!$H106/DATOS!$H$154</f>
        <v>0</v>
      </c>
      <c r="H37" s="684">
        <f>DATOS!$I106/DATOS!$I$154</f>
        <v>0</v>
      </c>
      <c r="I37" s="684">
        <f>DATOS!$J106/DATOS!$J$154</f>
        <v>0</v>
      </c>
      <c r="J37" s="684">
        <f>DATOS!$K106/DATOS!$K$154</f>
        <v>0</v>
      </c>
      <c r="K37" s="684">
        <f>DATOS!$L106/DATOS!$L$154</f>
        <v>0</v>
      </c>
      <c r="L37" s="684">
        <f>DATOS!$M106/DATOS!$M$154</f>
        <v>0</v>
      </c>
      <c r="M37" s="684">
        <f>DATOS!$N106/DATOS!$N$154</f>
        <v>0</v>
      </c>
      <c r="N37" s="684">
        <f>DATOS!$O106/DATOS!$O$154</f>
        <v>0</v>
      </c>
      <c r="O37" s="684">
        <f>DATOS!$P106/DATOS!$P$154</f>
        <v>0</v>
      </c>
      <c r="P37" s="684">
        <f>DATOS!$Q106/DATOS!$Q$154</f>
        <v>0</v>
      </c>
      <c r="Q37" s="684">
        <f>DATOS!$R106/DATOS!$R$154</f>
        <v>0</v>
      </c>
      <c r="R37" s="684">
        <f>DATOS!$S106/DATOS!$S$154</f>
        <v>0</v>
      </c>
      <c r="S37" s="684">
        <f>DATOS!$T106/DATOS!$T$154</f>
        <v>0</v>
      </c>
      <c r="T37" s="684">
        <f>DATOS!$U106/DATOS!$U$154</f>
        <v>0</v>
      </c>
      <c r="U37" s="684">
        <f>DATOS!$V106/DATOS!$V$154</f>
        <v>0</v>
      </c>
      <c r="V37" s="684">
        <f>DATOS!$W106/DATOS!$W$154</f>
        <v>0</v>
      </c>
      <c r="W37" s="684">
        <f>DATOS!$X106/DATOS!$X$154</f>
        <v>0</v>
      </c>
      <c r="X37" s="684">
        <f>DATOS!$Y106/DATOS!$Y$154</f>
        <v>0</v>
      </c>
      <c r="Y37" s="684">
        <f>DATOS!$Z106/DATOS!$Z$154</f>
        <v>0</v>
      </c>
      <c r="Z37" s="1125">
        <f t="shared" si="0"/>
        <v>0</v>
      </c>
      <c r="AA37" s="1125">
        <f t="shared" si="1"/>
        <v>0</v>
      </c>
    </row>
    <row r="38" spans="1:27" x14ac:dyDescent="0.2">
      <c r="A38" s="170" t="s">
        <v>167</v>
      </c>
      <c r="B38" s="1239">
        <f>DATOS!$C107/DATOS!$C$154</f>
        <v>0</v>
      </c>
      <c r="C38" s="1239">
        <f>DATOS!$D107/DATOS!$D$154</f>
        <v>0</v>
      </c>
      <c r="D38" s="1239">
        <f>DATOS!$E107/DATOS!$E$154</f>
        <v>3.6598937640894286E-4</v>
      </c>
      <c r="E38" s="1239">
        <f>DATOS!$F107/DATOS!$F$154</f>
        <v>0</v>
      </c>
      <c r="F38" s="684">
        <f>DATOS!$G107/DATOS!$G$154</f>
        <v>8.3397446984471567E-4</v>
      </c>
      <c r="G38" s="1239">
        <f>DATOS!$H107/DATOS!$H$154</f>
        <v>0</v>
      </c>
      <c r="H38" s="684">
        <f>DATOS!$I107/DATOS!$I$154</f>
        <v>0</v>
      </c>
      <c r="I38" s="684">
        <f>DATOS!$J107/DATOS!$J$154</f>
        <v>0</v>
      </c>
      <c r="J38" s="684">
        <f>DATOS!$K107/DATOS!$K$154</f>
        <v>4.7986246137960495E-5</v>
      </c>
      <c r="K38" s="684">
        <f>DATOS!$L107/DATOS!$L$154</f>
        <v>0</v>
      </c>
      <c r="L38" s="684">
        <f>DATOS!$M107/DATOS!$M$154</f>
        <v>0</v>
      </c>
      <c r="M38" s="684">
        <f>DATOS!$N107/DATOS!$N$154</f>
        <v>0</v>
      </c>
      <c r="N38" s="684">
        <f>DATOS!$O107/DATOS!$O$154</f>
        <v>2.9421985411989712E-4</v>
      </c>
      <c r="O38" s="684">
        <f>DATOS!$P107/DATOS!$P$154</f>
        <v>0</v>
      </c>
      <c r="P38" s="684">
        <f>DATOS!$Q107/DATOS!$Q$154</f>
        <v>0</v>
      </c>
      <c r="Q38" s="684">
        <f>DATOS!$R107/DATOS!$R$154</f>
        <v>0</v>
      </c>
      <c r="R38" s="684">
        <f>DATOS!$S107/DATOS!$S$154</f>
        <v>0</v>
      </c>
      <c r="S38" s="684">
        <f>DATOS!$T107/DATOS!$T$154</f>
        <v>0</v>
      </c>
      <c r="T38" s="684">
        <f>DATOS!$U107/DATOS!$U$154</f>
        <v>0</v>
      </c>
      <c r="U38" s="684">
        <f>DATOS!$V107/DATOS!$V$154</f>
        <v>0</v>
      </c>
      <c r="V38" s="684">
        <f>DATOS!$W107/DATOS!$W$154</f>
        <v>1.2045705744046984E-4</v>
      </c>
      <c r="W38" s="684">
        <f>DATOS!$X107/DATOS!$X$154</f>
        <v>0</v>
      </c>
      <c r="X38" s="684">
        <f>DATOS!$Y107/DATOS!$Y$154</f>
        <v>1.5620217438119149E-3</v>
      </c>
      <c r="Y38" s="684">
        <f>DATOS!$Z107/DATOS!$Z$154</f>
        <v>0</v>
      </c>
      <c r="Z38" s="1125">
        <f t="shared" si="0"/>
        <v>2.6872072898032512E-4</v>
      </c>
      <c r="AA38" s="1125">
        <f t="shared" si="1"/>
        <v>0</v>
      </c>
    </row>
    <row r="39" spans="1:27" x14ac:dyDescent="0.2">
      <c r="A39" s="1122" t="s">
        <v>754</v>
      </c>
      <c r="B39" s="1239">
        <f>DATOS!$C108/DATOS!$C$154</f>
        <v>0</v>
      </c>
      <c r="C39" s="1239">
        <f>DATOS!$D108/DATOS!$D$154</f>
        <v>0</v>
      </c>
      <c r="D39" s="1239">
        <f>DATOS!$E108/DATOS!$E$154</f>
        <v>0</v>
      </c>
      <c r="E39" s="1239">
        <f>DATOS!$F108/DATOS!$F$154</f>
        <v>0</v>
      </c>
      <c r="F39" s="1239">
        <f>DATOS!$G108/DATOS!$G$154</f>
        <v>0</v>
      </c>
      <c r="G39" s="1239">
        <f>DATOS!$H108/DATOS!$H$154</f>
        <v>0</v>
      </c>
      <c r="H39" s="684">
        <f>DATOS!$I108/DATOS!$I$154</f>
        <v>0</v>
      </c>
      <c r="I39" s="684">
        <f>DATOS!$J108/DATOS!$J$154</f>
        <v>0</v>
      </c>
      <c r="J39" s="684">
        <f>DATOS!$K108/DATOS!$K$154</f>
        <v>0</v>
      </c>
      <c r="K39" s="684">
        <f>DATOS!$L108/DATOS!$L$154</f>
        <v>0</v>
      </c>
      <c r="L39" s="684">
        <f>DATOS!$M108/DATOS!$M$154</f>
        <v>0</v>
      </c>
      <c r="M39" s="684">
        <f>DATOS!$N108/DATOS!$N$154</f>
        <v>0</v>
      </c>
      <c r="N39" s="684">
        <f>DATOS!$O108/DATOS!$O$154</f>
        <v>0</v>
      </c>
      <c r="O39" s="684">
        <f>DATOS!$P108/DATOS!$P$154</f>
        <v>0</v>
      </c>
      <c r="P39" s="684">
        <f>DATOS!$Q108/DATOS!$Q$154</f>
        <v>0</v>
      </c>
      <c r="Q39" s="684">
        <f>DATOS!$R108/DATOS!$R$154</f>
        <v>0</v>
      </c>
      <c r="R39" s="684">
        <f>DATOS!$S108/DATOS!$S$154</f>
        <v>0</v>
      </c>
      <c r="S39" s="684">
        <f>DATOS!$T108/DATOS!$T$154</f>
        <v>0</v>
      </c>
      <c r="T39" s="684">
        <f>DATOS!$U108/DATOS!$U$154</f>
        <v>0</v>
      </c>
      <c r="U39" s="684">
        <f>DATOS!$V108/DATOS!$V$154</f>
        <v>0</v>
      </c>
      <c r="V39" s="684">
        <f>DATOS!$W108/DATOS!$W$154</f>
        <v>0</v>
      </c>
      <c r="W39" s="684">
        <f>DATOS!$X108/DATOS!$X$154</f>
        <v>0</v>
      </c>
      <c r="X39" s="684">
        <f>DATOS!$Y108/DATOS!$Y$154</f>
        <v>0</v>
      </c>
      <c r="Y39" s="684">
        <f>DATOS!$Z108/DATOS!$Z$154</f>
        <v>0</v>
      </c>
      <c r="Z39" s="1125">
        <f t="shared" si="0"/>
        <v>0</v>
      </c>
      <c r="AA39" s="1125">
        <f t="shared" si="1"/>
        <v>0</v>
      </c>
    </row>
    <row r="40" spans="1:27" x14ac:dyDescent="0.2">
      <c r="A40" s="170" t="s">
        <v>277</v>
      </c>
      <c r="B40" s="1239">
        <f>DATOS!$C110/DATOS!$C$154</f>
        <v>0</v>
      </c>
      <c r="C40" s="1239">
        <f>DATOS!$D110/DATOS!$D$154</f>
        <v>0</v>
      </c>
      <c r="D40" s="1239">
        <f>DATOS!$E110/DATOS!$E$154</f>
        <v>0</v>
      </c>
      <c r="E40" s="1239">
        <f>DATOS!$F110/DATOS!$F$154</f>
        <v>0</v>
      </c>
      <c r="F40" s="1239">
        <f>DATOS!$G110/DATOS!$G$154</f>
        <v>0</v>
      </c>
      <c r="G40" s="1239">
        <f>DATOS!$H110/DATOS!$H$154</f>
        <v>0</v>
      </c>
      <c r="H40" s="684">
        <f>DATOS!$I110/DATOS!$I$154</f>
        <v>0</v>
      </c>
      <c r="I40" s="684">
        <f>DATOS!$J110/DATOS!$J$154</f>
        <v>0</v>
      </c>
      <c r="J40" s="684">
        <f>DATOS!$K110/DATOS!$K$154</f>
        <v>5.17006626800202E-4</v>
      </c>
      <c r="K40" s="684">
        <f>DATOS!$L110/DATOS!$L$154</f>
        <v>0</v>
      </c>
      <c r="L40" s="684">
        <f>DATOS!$M110/DATOS!$M$154</f>
        <v>0</v>
      </c>
      <c r="M40" s="684">
        <f>DATOS!$N110/DATOS!$N$154</f>
        <v>0</v>
      </c>
      <c r="N40" s="684">
        <f>DATOS!$O110/DATOS!$O$154</f>
        <v>0</v>
      </c>
      <c r="O40" s="684">
        <f>DATOS!$P110/DATOS!$P$154</f>
        <v>0</v>
      </c>
      <c r="P40" s="684">
        <f>DATOS!$Q110/DATOS!$Q$154</f>
        <v>0</v>
      </c>
      <c r="Q40" s="684">
        <f>DATOS!$R110/DATOS!$R$154</f>
        <v>0</v>
      </c>
      <c r="R40" s="684">
        <f>DATOS!$S110/DATOS!$S$154</f>
        <v>0</v>
      </c>
      <c r="S40" s="684">
        <f>DATOS!$T110/DATOS!$T$154</f>
        <v>0</v>
      </c>
      <c r="T40" s="684">
        <f>DATOS!$U110/DATOS!$U$154</f>
        <v>0</v>
      </c>
      <c r="U40" s="684">
        <f>DATOS!$V110/DATOS!$V$154</f>
        <v>0</v>
      </c>
      <c r="V40" s="684">
        <f>DATOS!$W110/DATOS!$W$154</f>
        <v>0</v>
      </c>
      <c r="W40" s="684">
        <f>DATOS!$X110/DATOS!$X$154</f>
        <v>0</v>
      </c>
      <c r="X40" s="684">
        <f>DATOS!$Y110/DATOS!$Y$154</f>
        <v>0</v>
      </c>
      <c r="Y40" s="684">
        <f>DATOS!$Z110/DATOS!$Z$154</f>
        <v>0</v>
      </c>
      <c r="Z40" s="1125">
        <f t="shared" si="0"/>
        <v>4.3083885566683502E-5</v>
      </c>
      <c r="AA40" s="1125">
        <f t="shared" si="1"/>
        <v>0</v>
      </c>
    </row>
    <row r="41" spans="1:27" x14ac:dyDescent="0.2">
      <c r="A41" s="170" t="s">
        <v>378</v>
      </c>
      <c r="B41" s="1239">
        <f>DATOS!$C111/DATOS!$C$154</f>
        <v>0</v>
      </c>
      <c r="C41" s="1239">
        <f>DATOS!$D111/DATOS!$D$154</f>
        <v>0</v>
      </c>
      <c r="D41" s="1239">
        <f>DATOS!$E111/DATOS!$E$154</f>
        <v>0</v>
      </c>
      <c r="E41" s="1239">
        <f>DATOS!$F111/DATOS!$F$154</f>
        <v>0</v>
      </c>
      <c r="F41" s="1239">
        <f>DATOS!$G111/DATOS!$G$154</f>
        <v>0</v>
      </c>
      <c r="G41" s="1239">
        <f>DATOS!$H111/DATOS!$H$154</f>
        <v>0</v>
      </c>
      <c r="H41" s="684">
        <f>DATOS!$I111/DATOS!$I$154</f>
        <v>0</v>
      </c>
      <c r="I41" s="684">
        <f>DATOS!$J111/DATOS!$J$154</f>
        <v>0</v>
      </c>
      <c r="J41" s="684">
        <f>DATOS!$K111/DATOS!$K$154</f>
        <v>0</v>
      </c>
      <c r="K41" s="684">
        <f>DATOS!$L111/DATOS!$L$154</f>
        <v>0</v>
      </c>
      <c r="L41" s="684">
        <f>DATOS!$M111/DATOS!$M$154</f>
        <v>0</v>
      </c>
      <c r="M41" s="684">
        <f>DATOS!$N111/DATOS!$N$154</f>
        <v>0</v>
      </c>
      <c r="N41" s="684">
        <f>DATOS!$O111/DATOS!$O$154</f>
        <v>0</v>
      </c>
      <c r="O41" s="684">
        <f>DATOS!$P111/DATOS!$P$154</f>
        <v>0</v>
      </c>
      <c r="P41" s="684">
        <f>DATOS!$Q111/DATOS!$Q$154</f>
        <v>0</v>
      </c>
      <c r="Q41" s="684">
        <f>DATOS!$R111/DATOS!$R$154</f>
        <v>0</v>
      </c>
      <c r="R41" s="684">
        <f>DATOS!$S111/DATOS!$S$154</f>
        <v>0</v>
      </c>
      <c r="S41" s="684">
        <f>DATOS!$T111/DATOS!$T$154</f>
        <v>0</v>
      </c>
      <c r="T41" s="684">
        <f>DATOS!$U111/DATOS!$U$154</f>
        <v>0</v>
      </c>
      <c r="U41" s="684">
        <f>DATOS!$V111/DATOS!$V$154</f>
        <v>0</v>
      </c>
      <c r="V41" s="684">
        <f>DATOS!$W111/DATOS!$W$154</f>
        <v>0</v>
      </c>
      <c r="W41" s="684">
        <f>DATOS!$X111/DATOS!$X$154</f>
        <v>0</v>
      </c>
      <c r="X41" s="684">
        <f>DATOS!$Y111/DATOS!$Y$154</f>
        <v>0</v>
      </c>
      <c r="Y41" s="684">
        <f>DATOS!$Z111/DATOS!$Z$154</f>
        <v>0</v>
      </c>
      <c r="Z41" s="1125">
        <f t="shared" si="0"/>
        <v>0</v>
      </c>
      <c r="AA41" s="1125">
        <f t="shared" si="1"/>
        <v>0</v>
      </c>
    </row>
    <row r="42" spans="1:27" x14ac:dyDescent="0.2">
      <c r="A42" s="169" t="s">
        <v>642</v>
      </c>
      <c r="B42" s="1239">
        <f>DATOS!$C112/DATOS!$C$154</f>
        <v>0</v>
      </c>
      <c r="C42" s="1239">
        <f>DATOS!$D112/DATOS!$D$154</f>
        <v>0</v>
      </c>
      <c r="D42" s="1239">
        <f>DATOS!$E112/DATOS!$E$154</f>
        <v>0</v>
      </c>
      <c r="E42" s="1239">
        <f>DATOS!$F112/DATOS!$F$154</f>
        <v>0</v>
      </c>
      <c r="F42" s="1239">
        <f>DATOS!$G112/DATOS!$G$154</f>
        <v>0</v>
      </c>
      <c r="G42" s="1239">
        <f>DATOS!$H112/DATOS!$H$154</f>
        <v>0</v>
      </c>
      <c r="H42" s="684">
        <f>DATOS!$I112/DATOS!$I$154</f>
        <v>0</v>
      </c>
      <c r="I42" s="684">
        <f>DATOS!$J112/DATOS!$J$154</f>
        <v>0</v>
      </c>
      <c r="J42" s="684">
        <f>DATOS!$K112/DATOS!$K$154</f>
        <v>0</v>
      </c>
      <c r="K42" s="684">
        <f>DATOS!$L112/DATOS!$L$154</f>
        <v>0</v>
      </c>
      <c r="L42" s="684">
        <f>DATOS!$M112/DATOS!$M$154</f>
        <v>0</v>
      </c>
      <c r="M42" s="684">
        <f>DATOS!$N112/DATOS!$N$154</f>
        <v>0</v>
      </c>
      <c r="N42" s="684">
        <f>DATOS!$O112/DATOS!$O$154</f>
        <v>0</v>
      </c>
      <c r="O42" s="684">
        <f>DATOS!$P112/DATOS!$P$154</f>
        <v>0</v>
      </c>
      <c r="P42" s="684">
        <f>DATOS!$Q112/DATOS!$Q$154</f>
        <v>0</v>
      </c>
      <c r="Q42" s="684">
        <f>DATOS!$R112/DATOS!$R$154</f>
        <v>0</v>
      </c>
      <c r="R42" s="684">
        <f>DATOS!$S112/DATOS!$S$154</f>
        <v>0</v>
      </c>
      <c r="S42" s="684">
        <f>DATOS!$T112/DATOS!$T$154</f>
        <v>0</v>
      </c>
      <c r="T42" s="684">
        <f>DATOS!$U112/DATOS!$U$154</f>
        <v>0</v>
      </c>
      <c r="U42" s="684">
        <f>DATOS!$V112/DATOS!$V$154</f>
        <v>0</v>
      </c>
      <c r="V42" s="684">
        <f>DATOS!$W112/DATOS!$W$154</f>
        <v>0</v>
      </c>
      <c r="W42" s="684">
        <f>DATOS!$X112/DATOS!$X$154</f>
        <v>0</v>
      </c>
      <c r="X42" s="684">
        <f>DATOS!$Y112/DATOS!$Y$154</f>
        <v>0</v>
      </c>
      <c r="Y42" s="684">
        <f>DATOS!$Z112/DATOS!$Z$154</f>
        <v>0</v>
      </c>
      <c r="Z42" s="1125">
        <f t="shared" si="0"/>
        <v>0</v>
      </c>
      <c r="AA42" s="1125">
        <f t="shared" si="1"/>
        <v>0</v>
      </c>
    </row>
    <row r="43" spans="1:27" x14ac:dyDescent="0.2">
      <c r="A43" s="169" t="s">
        <v>422</v>
      </c>
      <c r="B43" s="1239">
        <f>DATOS!$C113/DATOS!$C$154</f>
        <v>0</v>
      </c>
      <c r="C43" s="1239">
        <f>DATOS!$D113/DATOS!$D$154</f>
        <v>0</v>
      </c>
      <c r="D43" s="1239">
        <f>DATOS!$E113/DATOS!$E$154</f>
        <v>0</v>
      </c>
      <c r="E43" s="1239">
        <f>DATOS!$F113/DATOS!$F$154</f>
        <v>0</v>
      </c>
      <c r="F43" s="1239">
        <f>DATOS!$G113/DATOS!$G$154</f>
        <v>0</v>
      </c>
      <c r="G43" s="1239">
        <f>DATOS!$H113/DATOS!$H$154</f>
        <v>0</v>
      </c>
      <c r="H43" s="684">
        <f>DATOS!$I113/DATOS!$I$154</f>
        <v>0</v>
      </c>
      <c r="I43" s="684">
        <f>DATOS!$J113/DATOS!$J$154</f>
        <v>0</v>
      </c>
      <c r="J43" s="684">
        <f>DATOS!$K113/DATOS!$K$154</f>
        <v>0</v>
      </c>
      <c r="K43" s="684">
        <f>DATOS!$L113/DATOS!$L$154</f>
        <v>0</v>
      </c>
      <c r="L43" s="684">
        <f>DATOS!$M113/DATOS!$M$154</f>
        <v>0</v>
      </c>
      <c r="M43" s="684">
        <f>DATOS!$N113/DATOS!$N$154</f>
        <v>0</v>
      </c>
      <c r="N43" s="684">
        <f>DATOS!$O113/DATOS!$O$154</f>
        <v>0</v>
      </c>
      <c r="O43" s="684">
        <f>DATOS!$P113/DATOS!$P$154</f>
        <v>0</v>
      </c>
      <c r="P43" s="684">
        <f>DATOS!$Q113/DATOS!$Q$154</f>
        <v>0</v>
      </c>
      <c r="Q43" s="684">
        <f>DATOS!$R113/DATOS!$R$154</f>
        <v>0</v>
      </c>
      <c r="R43" s="684">
        <f>DATOS!$S113/DATOS!$S$154</f>
        <v>0</v>
      </c>
      <c r="S43" s="684">
        <f>DATOS!$T113/DATOS!$T$154</f>
        <v>0</v>
      </c>
      <c r="T43" s="684">
        <f>DATOS!$U113/DATOS!$U$154</f>
        <v>0</v>
      </c>
      <c r="U43" s="684">
        <f>DATOS!$V113/DATOS!$V$154</f>
        <v>0</v>
      </c>
      <c r="V43" s="684">
        <f>DATOS!$W113/DATOS!$W$154</f>
        <v>0</v>
      </c>
      <c r="W43" s="684">
        <f>DATOS!$X113/DATOS!$X$154</f>
        <v>0</v>
      </c>
      <c r="X43" s="684">
        <f>DATOS!$Y113/DATOS!$Y$154</f>
        <v>0</v>
      </c>
      <c r="Y43" s="684">
        <f>DATOS!$Z113/DATOS!$Z$154</f>
        <v>0</v>
      </c>
      <c r="Z43" s="1125">
        <f t="shared" si="0"/>
        <v>0</v>
      </c>
      <c r="AA43" s="1125">
        <f t="shared" si="1"/>
        <v>0</v>
      </c>
    </row>
    <row r="44" spans="1:27" x14ac:dyDescent="0.2">
      <c r="A44" s="169" t="s">
        <v>423</v>
      </c>
      <c r="B44" s="1239">
        <f>DATOS!$C114/DATOS!$C$154</f>
        <v>0</v>
      </c>
      <c r="C44" s="1239">
        <f>DATOS!$D114/DATOS!$D$154</f>
        <v>0</v>
      </c>
      <c r="D44" s="1239">
        <f>DATOS!$E114/DATOS!$E$154</f>
        <v>0</v>
      </c>
      <c r="E44" s="1239">
        <f>DATOS!$F114/DATOS!$F$154</f>
        <v>0</v>
      </c>
      <c r="F44" s="1239">
        <f>DATOS!$G114/DATOS!$G$154</f>
        <v>0</v>
      </c>
      <c r="G44" s="1239">
        <f>DATOS!$H114/DATOS!$H$154</f>
        <v>0</v>
      </c>
      <c r="H44" s="684">
        <f>DATOS!$I114/DATOS!$I$154</f>
        <v>0</v>
      </c>
      <c r="I44" s="684">
        <f>DATOS!$J114/DATOS!$J$154</f>
        <v>0</v>
      </c>
      <c r="J44" s="684">
        <f>DATOS!$K114/DATOS!$K$154</f>
        <v>0</v>
      </c>
      <c r="K44" s="684">
        <f>DATOS!$L114/DATOS!$L$154</f>
        <v>0</v>
      </c>
      <c r="L44" s="684">
        <f>DATOS!$M114/DATOS!$M$154</f>
        <v>0</v>
      </c>
      <c r="M44" s="684">
        <f>DATOS!$N114/DATOS!$N$154</f>
        <v>0</v>
      </c>
      <c r="N44" s="684">
        <f>DATOS!$O114/DATOS!$O$154</f>
        <v>0</v>
      </c>
      <c r="O44" s="684">
        <f>DATOS!$P114/DATOS!$P$154</f>
        <v>0</v>
      </c>
      <c r="P44" s="684">
        <f>DATOS!$Q114/DATOS!$Q$154</f>
        <v>0</v>
      </c>
      <c r="Q44" s="684">
        <f>DATOS!$R114/DATOS!$R$154</f>
        <v>0</v>
      </c>
      <c r="R44" s="684">
        <f>DATOS!$S114/DATOS!$S$154</f>
        <v>0</v>
      </c>
      <c r="S44" s="684">
        <f>DATOS!$T114/DATOS!$T$154</f>
        <v>0</v>
      </c>
      <c r="T44" s="684">
        <f>DATOS!$U114/DATOS!$U$154</f>
        <v>0</v>
      </c>
      <c r="U44" s="684">
        <f>DATOS!$V114/DATOS!$V$154</f>
        <v>0</v>
      </c>
      <c r="V44" s="684">
        <f>DATOS!$W114/DATOS!$W$154</f>
        <v>0</v>
      </c>
      <c r="W44" s="684">
        <f>DATOS!$X114/DATOS!$X$154</f>
        <v>0</v>
      </c>
      <c r="X44" s="684">
        <f>DATOS!$Y114/DATOS!$Y$154</f>
        <v>0</v>
      </c>
      <c r="Y44" s="684">
        <f>DATOS!$Z114/DATOS!$Z$154</f>
        <v>0</v>
      </c>
      <c r="Z44" s="1125">
        <f t="shared" si="0"/>
        <v>0</v>
      </c>
      <c r="AA44" s="1125">
        <f t="shared" si="1"/>
        <v>0</v>
      </c>
    </row>
    <row r="45" spans="1:27" x14ac:dyDescent="0.2">
      <c r="A45" s="169" t="s">
        <v>643</v>
      </c>
      <c r="B45" s="684">
        <f>DATOS!$C115/DATOS!$C$154</f>
        <v>3.4083461212798455E-2</v>
      </c>
      <c r="C45" s="1239">
        <f>DATOS!$D115/DATOS!$D$154</f>
        <v>0</v>
      </c>
      <c r="D45" s="684">
        <f>DATOS!$E115/DATOS!$E$154</f>
        <v>4.5820615105680529E-2</v>
      </c>
      <c r="E45" s="1239">
        <f>DATOS!$F115/DATOS!$F$154</f>
        <v>0</v>
      </c>
      <c r="F45" s="684">
        <f>DATOS!$G115/DATOS!$G$154</f>
        <v>4.2367150098958223E-2</v>
      </c>
      <c r="G45" s="1239">
        <f>DATOS!$H115/DATOS!$H$154</f>
        <v>0</v>
      </c>
      <c r="H45" s="684">
        <f>DATOS!$I115/DATOS!$I$154</f>
        <v>4.9955677098924491E-2</v>
      </c>
      <c r="I45" s="684">
        <f>DATOS!$J115/DATOS!$J$154</f>
        <v>0</v>
      </c>
      <c r="J45" s="684">
        <f>DATOS!$K115/DATOS!$K$154</f>
        <v>5.1930394323664773E-2</v>
      </c>
      <c r="K45" s="684">
        <f>DATOS!$L115/DATOS!$L$154</f>
        <v>0</v>
      </c>
      <c r="L45" s="684">
        <f>DATOS!$M115/DATOS!$M$154</f>
        <v>4.6379835516448309E-2</v>
      </c>
      <c r="M45" s="684">
        <f>DATOS!$N115/DATOS!$N$154</f>
        <v>0</v>
      </c>
      <c r="N45" s="684">
        <f>DATOS!$O115/DATOS!$O$154</f>
        <v>2.803653571301741E-2</v>
      </c>
      <c r="O45" s="684">
        <f>DATOS!$P115/DATOS!$P$154</f>
        <v>0</v>
      </c>
      <c r="P45" s="684">
        <f>DATOS!$Q115/DATOS!$Q$154</f>
        <v>1.0043017614190563E-2</v>
      </c>
      <c r="Q45" s="684">
        <f>DATOS!$R115/DATOS!$R$154</f>
        <v>0</v>
      </c>
      <c r="R45" s="684">
        <f>DATOS!$S115/DATOS!$S$154</f>
        <v>4.7366018088359628E-2</v>
      </c>
      <c r="S45" s="684">
        <f>DATOS!$T115/DATOS!$T$154</f>
        <v>0</v>
      </c>
      <c r="T45" s="684">
        <f>DATOS!$U115/DATOS!$U$154</f>
        <v>3.0582936030988394E-2</v>
      </c>
      <c r="U45" s="684">
        <f>DATOS!$V115/DATOS!$V$154</f>
        <v>0</v>
      </c>
      <c r="V45" s="684">
        <f>DATOS!$W115/DATOS!$W$154</f>
        <v>2.4578820894850591E-2</v>
      </c>
      <c r="W45" s="684">
        <f>DATOS!$X115/DATOS!$X$154</f>
        <v>0</v>
      </c>
      <c r="X45" s="684">
        <f>DATOS!$Y115/DATOS!$Y$154</f>
        <v>4.2572364556650491E-2</v>
      </c>
      <c r="Y45" s="684">
        <f>DATOS!$Z115/DATOS!$Z$154</f>
        <v>0</v>
      </c>
      <c r="Z45" s="1125">
        <f t="shared" si="0"/>
        <v>3.7809735521210981E-2</v>
      </c>
      <c r="AA45" s="1125">
        <f t="shared" si="1"/>
        <v>0</v>
      </c>
    </row>
    <row r="46" spans="1:27" x14ac:dyDescent="0.2">
      <c r="A46" s="169" t="s">
        <v>644</v>
      </c>
      <c r="B46" s="1239">
        <f>DATOS!$C116/DATOS!$C$154</f>
        <v>0</v>
      </c>
      <c r="C46" s="1239">
        <f>DATOS!$D116/DATOS!$D$154</f>
        <v>0</v>
      </c>
      <c r="D46" s="1239">
        <f>DATOS!$E116/DATOS!$E$154</f>
        <v>0</v>
      </c>
      <c r="E46" s="1239">
        <f>DATOS!$F116/DATOS!$F$154</f>
        <v>0</v>
      </c>
      <c r="F46" s="1239">
        <f>DATOS!$G116/DATOS!$G$154</f>
        <v>0</v>
      </c>
      <c r="G46" s="1239">
        <f>DATOS!$H116/DATOS!$H$154</f>
        <v>0</v>
      </c>
      <c r="H46" s="684">
        <f>DATOS!$I116/DATOS!$I$154</f>
        <v>0</v>
      </c>
      <c r="I46" s="684">
        <f>DATOS!$J116/DATOS!$J$154</f>
        <v>0</v>
      </c>
      <c r="J46" s="684">
        <f>DATOS!$K116/DATOS!$K$154</f>
        <v>0</v>
      </c>
      <c r="K46" s="684">
        <f>DATOS!$L116/DATOS!$L$154</f>
        <v>0</v>
      </c>
      <c r="L46" s="684">
        <f>DATOS!$M116/DATOS!$M$154</f>
        <v>0</v>
      </c>
      <c r="M46" s="684">
        <f>DATOS!$N116/DATOS!$N$154</f>
        <v>0</v>
      </c>
      <c r="N46" s="684">
        <f>DATOS!$O116/DATOS!$O$154</f>
        <v>0</v>
      </c>
      <c r="O46" s="684">
        <f>DATOS!$P116/DATOS!$P$154</f>
        <v>0</v>
      </c>
      <c r="P46" s="684">
        <f>DATOS!$Q116/DATOS!$Q$154</f>
        <v>0</v>
      </c>
      <c r="Q46" s="684">
        <f>DATOS!$R116/DATOS!$R$154</f>
        <v>0</v>
      </c>
      <c r="R46" s="684">
        <f>DATOS!$S116/DATOS!$S$154</f>
        <v>0</v>
      </c>
      <c r="S46" s="684">
        <f>DATOS!$T116/DATOS!$T$154</f>
        <v>0</v>
      </c>
      <c r="T46" s="684">
        <f>DATOS!$U116/DATOS!$U$154</f>
        <v>0</v>
      </c>
      <c r="U46" s="684">
        <f>DATOS!$V116/DATOS!$V$154</f>
        <v>0</v>
      </c>
      <c r="V46" s="684">
        <f>DATOS!$W116/DATOS!$W$154</f>
        <v>0</v>
      </c>
      <c r="W46" s="684">
        <f>DATOS!$X116/DATOS!$X$154</f>
        <v>0</v>
      </c>
      <c r="X46" s="684">
        <f>DATOS!$Y116/DATOS!$Y$154</f>
        <v>0</v>
      </c>
      <c r="Y46" s="684">
        <f>DATOS!$Z116/DATOS!$Z$154</f>
        <v>0</v>
      </c>
      <c r="Z46" s="1125">
        <f t="shared" si="0"/>
        <v>0</v>
      </c>
      <c r="AA46" s="1125">
        <f t="shared" si="1"/>
        <v>0</v>
      </c>
    </row>
    <row r="47" spans="1:27" x14ac:dyDescent="0.2">
      <c r="A47" s="169" t="s">
        <v>645</v>
      </c>
      <c r="B47" s="1239">
        <f>DATOS!$C117/DATOS!$C$154</f>
        <v>0</v>
      </c>
      <c r="C47" s="1239">
        <f>DATOS!$D117/DATOS!$D$154</f>
        <v>0</v>
      </c>
      <c r="D47" s="1239">
        <f>DATOS!$E117/DATOS!$E$154</f>
        <v>0</v>
      </c>
      <c r="E47" s="1239">
        <f>DATOS!$F117/DATOS!$F$154</f>
        <v>0</v>
      </c>
      <c r="F47" s="1239">
        <f>DATOS!$G117/DATOS!$G$154</f>
        <v>0</v>
      </c>
      <c r="G47" s="1239">
        <f>DATOS!$H117/DATOS!$H$154</f>
        <v>0</v>
      </c>
      <c r="H47" s="684">
        <f>DATOS!$I117/DATOS!$I$154</f>
        <v>0</v>
      </c>
      <c r="I47" s="684">
        <f>DATOS!$J117/DATOS!$J$154</f>
        <v>0</v>
      </c>
      <c r="J47" s="684">
        <f>DATOS!$K117/DATOS!$K$154</f>
        <v>0</v>
      </c>
      <c r="K47" s="684">
        <f>DATOS!$L117/DATOS!$L$154</f>
        <v>0</v>
      </c>
      <c r="L47" s="684">
        <f>DATOS!$M117/DATOS!$M$154</f>
        <v>0</v>
      </c>
      <c r="M47" s="684">
        <f>DATOS!$N117/DATOS!$N$154</f>
        <v>0</v>
      </c>
      <c r="N47" s="684">
        <f>DATOS!$O117/DATOS!$O$154</f>
        <v>0</v>
      </c>
      <c r="O47" s="684">
        <f>DATOS!$P117/DATOS!$P$154</f>
        <v>0</v>
      </c>
      <c r="P47" s="684">
        <f>DATOS!$Q117/DATOS!$Q$154</f>
        <v>0</v>
      </c>
      <c r="Q47" s="684">
        <f>DATOS!$R117/DATOS!$R$154</f>
        <v>0</v>
      </c>
      <c r="R47" s="684">
        <f>DATOS!$S117/DATOS!$S$154</f>
        <v>0</v>
      </c>
      <c r="S47" s="684">
        <f>DATOS!$T117/DATOS!$T$154</f>
        <v>0</v>
      </c>
      <c r="T47" s="684">
        <f>DATOS!$U117/DATOS!$U$154</f>
        <v>0</v>
      </c>
      <c r="U47" s="684">
        <f>DATOS!$V117/DATOS!$V$154</f>
        <v>0</v>
      </c>
      <c r="V47" s="684">
        <f>DATOS!$W117/DATOS!$W$154</f>
        <v>0</v>
      </c>
      <c r="W47" s="684">
        <f>DATOS!$X117/DATOS!$X$154</f>
        <v>0</v>
      </c>
      <c r="X47" s="684">
        <f>DATOS!$Y117/DATOS!$Y$154</f>
        <v>0</v>
      </c>
      <c r="Y47" s="684">
        <f>DATOS!$Z117/DATOS!$Z$154</f>
        <v>0</v>
      </c>
      <c r="Z47" s="1125">
        <f t="shared" si="0"/>
        <v>0</v>
      </c>
      <c r="AA47" s="1125">
        <f t="shared" si="1"/>
        <v>0</v>
      </c>
    </row>
    <row r="48" spans="1:27" ht="13.5" thickBot="1" x14ac:dyDescent="0.25">
      <c r="A48" s="168" t="s">
        <v>646</v>
      </c>
      <c r="B48" s="1239">
        <f>DATOS!$C118/DATOS!$C$154</f>
        <v>0</v>
      </c>
      <c r="C48" s="1239">
        <f>DATOS!$D118/DATOS!$D$154</f>
        <v>0</v>
      </c>
      <c r="D48" s="1239">
        <f>DATOS!$E118/DATOS!$E$154</f>
        <v>0</v>
      </c>
      <c r="E48" s="1239">
        <f>DATOS!$F118/DATOS!$F$154</f>
        <v>0</v>
      </c>
      <c r="F48" s="1239">
        <f>DATOS!$G118/DATOS!$G$154</f>
        <v>0</v>
      </c>
      <c r="G48" s="1239">
        <f>DATOS!$H118/DATOS!$H$154</f>
        <v>0</v>
      </c>
      <c r="H48" s="684">
        <f>DATOS!$I118/DATOS!$I$154</f>
        <v>0</v>
      </c>
      <c r="I48" s="684">
        <f>DATOS!$J118/DATOS!$J$154</f>
        <v>0</v>
      </c>
      <c r="J48" s="684">
        <f>DATOS!$K118/DATOS!$K$154</f>
        <v>0</v>
      </c>
      <c r="K48" s="684">
        <f>DATOS!$L118/DATOS!$L$154</f>
        <v>0</v>
      </c>
      <c r="L48" s="684">
        <f>DATOS!$M118/DATOS!$M$154</f>
        <v>0</v>
      </c>
      <c r="M48" s="684">
        <f>DATOS!$N118/DATOS!$N$154</f>
        <v>0</v>
      </c>
      <c r="N48" s="684">
        <f>DATOS!$O118/DATOS!$O$154</f>
        <v>0</v>
      </c>
      <c r="O48" s="684">
        <f>DATOS!$P118/DATOS!$P$154</f>
        <v>0</v>
      </c>
      <c r="P48" s="684">
        <f>DATOS!$Q118/DATOS!$Q$154</f>
        <v>0</v>
      </c>
      <c r="Q48" s="684">
        <f>DATOS!$R118/DATOS!$R$154</f>
        <v>0</v>
      </c>
      <c r="R48" s="684">
        <f>DATOS!$S118/DATOS!$S$154</f>
        <v>0</v>
      </c>
      <c r="S48" s="684">
        <f>DATOS!$T118/DATOS!$T$154</f>
        <v>0</v>
      </c>
      <c r="T48" s="684">
        <f>DATOS!$U118/DATOS!$U$154</f>
        <v>0</v>
      </c>
      <c r="U48" s="684">
        <f>DATOS!$V118/DATOS!$V$154</f>
        <v>0</v>
      </c>
      <c r="V48" s="684">
        <f>DATOS!$W118/DATOS!$W$154</f>
        <v>0</v>
      </c>
      <c r="W48" s="684">
        <f>DATOS!$X118/DATOS!$X$154</f>
        <v>0</v>
      </c>
      <c r="X48" s="684">
        <f>DATOS!$Y118/DATOS!$Y$154</f>
        <v>0</v>
      </c>
      <c r="Y48" s="684">
        <f>DATOS!$Z118/DATOS!$Z$154</f>
        <v>0</v>
      </c>
      <c r="Z48" s="1125">
        <f t="shared" si="0"/>
        <v>0</v>
      </c>
      <c r="AA48" s="1125">
        <f t="shared" si="1"/>
        <v>0</v>
      </c>
    </row>
    <row r="49" spans="1:27" ht="13.5" thickBot="1" x14ac:dyDescent="0.25">
      <c r="A49" s="546" t="s">
        <v>647</v>
      </c>
      <c r="B49" s="1239">
        <f>DATOS!$C119/DATOS!$C$154</f>
        <v>0</v>
      </c>
      <c r="C49" s="1239">
        <f>DATOS!$D119/DATOS!$D$154</f>
        <v>0</v>
      </c>
      <c r="D49" s="1239">
        <f>DATOS!$E119/DATOS!$E$154</f>
        <v>0</v>
      </c>
      <c r="E49" s="1239">
        <f>DATOS!$F119/DATOS!$F$154</f>
        <v>0</v>
      </c>
      <c r="F49" s="1239">
        <f>DATOS!$G119/DATOS!$G$154</f>
        <v>0</v>
      </c>
      <c r="G49" s="1239">
        <f>DATOS!$H119/DATOS!$H$154</f>
        <v>0</v>
      </c>
      <c r="H49" s="684">
        <f>DATOS!$I119/DATOS!$I$154</f>
        <v>0</v>
      </c>
      <c r="I49" s="684">
        <f>DATOS!$J119/DATOS!$J$154</f>
        <v>0</v>
      </c>
      <c r="J49" s="684">
        <f>DATOS!$K119/DATOS!$K$154</f>
        <v>0</v>
      </c>
      <c r="K49" s="684">
        <f>DATOS!$L119/DATOS!$L$154</f>
        <v>0</v>
      </c>
      <c r="L49" s="684">
        <f>DATOS!$M119/DATOS!$M$154</f>
        <v>0</v>
      </c>
      <c r="M49" s="684">
        <f>DATOS!$N119/DATOS!$N$154</f>
        <v>0</v>
      </c>
      <c r="N49" s="684">
        <f>DATOS!$O119/DATOS!$O$154</f>
        <v>0</v>
      </c>
      <c r="O49" s="684">
        <f>DATOS!$P119/DATOS!$P$154</f>
        <v>0</v>
      </c>
      <c r="P49" s="684">
        <f>DATOS!$Q119/DATOS!$Q$154</f>
        <v>0</v>
      </c>
      <c r="Q49" s="684">
        <f>DATOS!$R119/DATOS!$R$154</f>
        <v>0</v>
      </c>
      <c r="R49" s="684">
        <f>DATOS!$S119/DATOS!$S$154</f>
        <v>0</v>
      </c>
      <c r="S49" s="684">
        <f>DATOS!$T119/DATOS!$T$154</f>
        <v>0</v>
      </c>
      <c r="T49" s="684">
        <f>DATOS!$U119/DATOS!$U$154</f>
        <v>0</v>
      </c>
      <c r="U49" s="684">
        <f>DATOS!$V119/DATOS!$V$154</f>
        <v>0</v>
      </c>
      <c r="V49" s="684">
        <f>DATOS!$W119/DATOS!$W$154</f>
        <v>0</v>
      </c>
      <c r="W49" s="684">
        <f>DATOS!$X119/DATOS!$X$154</f>
        <v>0</v>
      </c>
      <c r="X49" s="684">
        <f>DATOS!$Y119/DATOS!$Y$154</f>
        <v>0</v>
      </c>
      <c r="Y49" s="684">
        <f>DATOS!$Z119/DATOS!$Z$154</f>
        <v>0</v>
      </c>
      <c r="Z49" s="1125">
        <f t="shared" si="0"/>
        <v>0</v>
      </c>
      <c r="AA49" s="1125">
        <f t="shared" si="1"/>
        <v>0</v>
      </c>
    </row>
    <row r="50" spans="1:27" ht="13.5" thickBot="1" x14ac:dyDescent="0.25">
      <c r="A50" s="546" t="s">
        <v>648</v>
      </c>
      <c r="B50" s="1239">
        <f>DATOS!$C120/DATOS!$C$154</f>
        <v>0</v>
      </c>
      <c r="C50" s="1239">
        <f>DATOS!$D120/DATOS!$D$154</f>
        <v>0</v>
      </c>
      <c r="D50" s="1239">
        <f>DATOS!$E120/DATOS!$E$154</f>
        <v>0</v>
      </c>
      <c r="E50" s="1239">
        <f>DATOS!$F120/DATOS!$F$154</f>
        <v>0</v>
      </c>
      <c r="F50" s="1239">
        <f>DATOS!$G120/DATOS!$G$154</f>
        <v>0</v>
      </c>
      <c r="G50" s="1239">
        <f>DATOS!$H120/DATOS!$H$154</f>
        <v>0</v>
      </c>
      <c r="H50" s="684">
        <f>DATOS!$I120/DATOS!$I$154</f>
        <v>0</v>
      </c>
      <c r="I50" s="684">
        <f>DATOS!$J120/DATOS!$J$154</f>
        <v>0</v>
      </c>
      <c r="J50" s="684">
        <f>DATOS!$K120/DATOS!$K$154</f>
        <v>0</v>
      </c>
      <c r="K50" s="684">
        <f>DATOS!$L120/DATOS!$L$154</f>
        <v>0</v>
      </c>
      <c r="L50" s="684">
        <f>DATOS!$M120/DATOS!$M$154</f>
        <v>0</v>
      </c>
      <c r="M50" s="684">
        <f>DATOS!$N120/DATOS!$N$154</f>
        <v>0</v>
      </c>
      <c r="N50" s="684">
        <f>DATOS!$O120/DATOS!$O$154</f>
        <v>0</v>
      </c>
      <c r="O50" s="684">
        <f>DATOS!$P120/DATOS!$P$154</f>
        <v>0</v>
      </c>
      <c r="P50" s="684">
        <f>DATOS!$Q120/DATOS!$Q$154</f>
        <v>0</v>
      </c>
      <c r="Q50" s="684">
        <f>DATOS!$R120/DATOS!$R$154</f>
        <v>0</v>
      </c>
      <c r="R50" s="684">
        <f>DATOS!$S120/DATOS!$S$154</f>
        <v>0</v>
      </c>
      <c r="S50" s="684">
        <f>DATOS!$T120/DATOS!$T$154</f>
        <v>0</v>
      </c>
      <c r="T50" s="684">
        <f>DATOS!$U120/DATOS!$U$154</f>
        <v>0</v>
      </c>
      <c r="U50" s="684">
        <f>DATOS!$V120/DATOS!$V$154</f>
        <v>0</v>
      </c>
      <c r="V50" s="684">
        <f>DATOS!$W120/DATOS!$W$154</f>
        <v>0</v>
      </c>
      <c r="W50" s="684">
        <f>DATOS!$X120/DATOS!$X$154</f>
        <v>0</v>
      </c>
      <c r="X50" s="684">
        <f>DATOS!$Y120/DATOS!$Y$154</f>
        <v>0</v>
      </c>
      <c r="Y50" s="684">
        <f>DATOS!$Z120/DATOS!$Z$154</f>
        <v>0</v>
      </c>
      <c r="Z50" s="1125">
        <f t="shared" si="0"/>
        <v>0</v>
      </c>
      <c r="AA50" s="1125">
        <f t="shared" si="1"/>
        <v>0</v>
      </c>
    </row>
    <row r="51" spans="1:27" ht="13.5" thickBot="1" x14ac:dyDescent="0.25">
      <c r="A51" s="546" t="s">
        <v>649</v>
      </c>
      <c r="B51" s="1239">
        <f>DATOS!$C121/DATOS!$C$154</f>
        <v>2.8096928364113372E-3</v>
      </c>
      <c r="C51" s="1239">
        <f>DATOS!$D121/DATOS!$D$154</f>
        <v>0</v>
      </c>
      <c r="D51" s="1239">
        <f>DATOS!$E121/DATOS!$E$154</f>
        <v>1.7980930257157378E-2</v>
      </c>
      <c r="E51" s="1239">
        <f>DATOS!$F121/DATOS!$F$154</f>
        <v>0</v>
      </c>
      <c r="F51" s="1239">
        <f>DATOS!$G121/DATOS!$G$154</f>
        <v>0</v>
      </c>
      <c r="G51" s="1239">
        <f>DATOS!$H121/DATOS!$H$154</f>
        <v>0</v>
      </c>
      <c r="H51" s="684">
        <f>DATOS!$I121/DATOS!$I$154</f>
        <v>9.0425823320558433E-3</v>
      </c>
      <c r="I51" s="684">
        <f>DATOS!$J121/DATOS!$J$154</f>
        <v>0</v>
      </c>
      <c r="J51" s="684">
        <f>DATOS!$K121/DATOS!$K$154</f>
        <v>0</v>
      </c>
      <c r="K51" s="684">
        <f>DATOS!$L121/DATOS!$L$154</f>
        <v>0</v>
      </c>
      <c r="L51" s="684">
        <f>DATOS!$M121/DATOS!$M$154</f>
        <v>0</v>
      </c>
      <c r="M51" s="684">
        <f>DATOS!$N121/DATOS!$N$154</f>
        <v>0</v>
      </c>
      <c r="N51" s="684">
        <f>DATOS!$O121/DATOS!$O$154</f>
        <v>0</v>
      </c>
      <c r="O51" s="684">
        <f>DATOS!$P121/DATOS!$P$154</f>
        <v>0</v>
      </c>
      <c r="P51" s="684">
        <f>DATOS!$Q121/DATOS!$Q$154</f>
        <v>0</v>
      </c>
      <c r="Q51" s="684">
        <f>DATOS!$R121/DATOS!$R$154</f>
        <v>0</v>
      </c>
      <c r="R51" s="684">
        <f>DATOS!$S121/DATOS!$S$154</f>
        <v>0</v>
      </c>
      <c r="S51" s="684">
        <f>DATOS!$T121/DATOS!$T$154</f>
        <v>0</v>
      </c>
      <c r="T51" s="684">
        <f>DATOS!$U121/DATOS!$U$154</f>
        <v>0</v>
      </c>
      <c r="U51" s="684">
        <f>DATOS!$V121/DATOS!$V$154</f>
        <v>0</v>
      </c>
      <c r="V51" s="684">
        <f>DATOS!$W121/DATOS!$W$154</f>
        <v>0</v>
      </c>
      <c r="W51" s="684">
        <f>DATOS!$X121/DATOS!$X$154</f>
        <v>0</v>
      </c>
      <c r="X51" s="684">
        <f>DATOS!$Y121/DATOS!$Y$154</f>
        <v>0</v>
      </c>
      <c r="Y51" s="684">
        <f>DATOS!$Z121/DATOS!$Z$154</f>
        <v>0</v>
      </c>
      <c r="Z51" s="1125">
        <f t="shared" si="0"/>
        <v>2.4861004521353797E-3</v>
      </c>
      <c r="AA51" s="1125">
        <f t="shared" si="1"/>
        <v>0</v>
      </c>
    </row>
    <row r="52" spans="1:27" ht="13.5" thickBot="1" x14ac:dyDescent="0.25">
      <c r="A52" s="546" t="s">
        <v>755</v>
      </c>
      <c r="B52" s="1239">
        <f>DATOS!$C122/DATOS!$C$154</f>
        <v>0</v>
      </c>
      <c r="C52" s="1239">
        <f>DATOS!$D122/DATOS!$D$154</f>
        <v>0</v>
      </c>
      <c r="D52" s="1239">
        <f>DATOS!$E122/DATOS!$E$154</f>
        <v>5.9882368458305879E-3</v>
      </c>
      <c r="E52" s="1239">
        <f>DATOS!$F122/DATOS!$F$154</f>
        <v>0</v>
      </c>
      <c r="F52" s="1239">
        <f>DATOS!$G122/DATOS!$G$154</f>
        <v>0</v>
      </c>
      <c r="G52" s="1239">
        <f>DATOS!$H122/DATOS!$H$154</f>
        <v>0</v>
      </c>
      <c r="H52" s="684">
        <f>DATOS!$I122/DATOS!$I$154</f>
        <v>2.3596966559722046E-3</v>
      </c>
      <c r="I52" s="684">
        <f>DATOS!$J122/DATOS!$J$154</f>
        <v>0</v>
      </c>
      <c r="J52" s="684">
        <f>DATOS!$K122/DATOS!$K$154</f>
        <v>9.1362600178316092E-4</v>
      </c>
      <c r="K52" s="684">
        <f>DATOS!$L122/DATOS!$L$154</f>
        <v>0</v>
      </c>
      <c r="L52" s="684">
        <f>DATOS!$M122/DATOS!$M$154</f>
        <v>2.4400549244758471E-3</v>
      </c>
      <c r="M52" s="684">
        <f>DATOS!$N122/DATOS!$N$154</f>
        <v>0</v>
      </c>
      <c r="N52" s="684">
        <f>DATOS!$O122/DATOS!$O$154</f>
        <v>7.1416809598503128E-4</v>
      </c>
      <c r="O52" s="684">
        <f>DATOS!$P122/DATOS!$P$154</f>
        <v>0</v>
      </c>
      <c r="P52" s="684">
        <f>DATOS!$Q122/DATOS!$Q$154</f>
        <v>0</v>
      </c>
      <c r="Q52" s="684">
        <f>DATOS!$R122/DATOS!$R$154</f>
        <v>0</v>
      </c>
      <c r="R52" s="684">
        <f>DATOS!$S122/DATOS!$S$154</f>
        <v>3.7605911884560224E-4</v>
      </c>
      <c r="S52" s="684">
        <f>DATOS!$T122/DATOS!$T$154</f>
        <v>0</v>
      </c>
      <c r="T52" s="684">
        <f>DATOS!$U122/DATOS!$U$154</f>
        <v>0</v>
      </c>
      <c r="U52" s="684">
        <f>DATOS!$V122/DATOS!$V$154</f>
        <v>0</v>
      </c>
      <c r="V52" s="684">
        <f>DATOS!$W122/DATOS!$W$154</f>
        <v>0</v>
      </c>
      <c r="W52" s="684">
        <f>DATOS!$X122/DATOS!$X$154</f>
        <v>0</v>
      </c>
      <c r="X52" s="684">
        <f>DATOS!$Y122/DATOS!$Y$154</f>
        <v>0</v>
      </c>
      <c r="Y52" s="684">
        <f>DATOS!$Z122/DATOS!$Z$154</f>
        <v>0</v>
      </c>
      <c r="Z52" s="1125">
        <f t="shared" si="0"/>
        <v>1.0659868035743695E-3</v>
      </c>
      <c r="AA52" s="1125">
        <f t="shared" si="1"/>
        <v>0</v>
      </c>
    </row>
    <row r="53" spans="1:27" ht="13.5" thickBot="1" x14ac:dyDescent="0.25">
      <c r="A53" s="546" t="s">
        <v>673</v>
      </c>
      <c r="B53" s="1239">
        <f>DATOS!$C123/DATOS!$C$154</f>
        <v>5.0692310411677441E-3</v>
      </c>
      <c r="C53" s="1239">
        <f>DATOS!$D123/DATOS!$D$154</f>
        <v>0</v>
      </c>
      <c r="D53" s="1239">
        <f>DATOS!$E123/DATOS!$E$154</f>
        <v>1.3691488290803122E-3</v>
      </c>
      <c r="E53" s="1239">
        <f>DATOS!$F123/DATOS!$F$154</f>
        <v>0</v>
      </c>
      <c r="F53" s="1239">
        <f>DATOS!$G123/DATOS!$G$154</f>
        <v>3.1930315193372011E-4</v>
      </c>
      <c r="G53" s="1239">
        <f>DATOS!$H123/DATOS!$H$154</f>
        <v>0</v>
      </c>
      <c r="H53" s="684">
        <f>DATOS!$I123/DATOS!$I$154</f>
        <v>1.664282398114823E-3</v>
      </c>
      <c r="I53" s="684">
        <f>DATOS!$J123/DATOS!$J$154</f>
        <v>0</v>
      </c>
      <c r="J53" s="684">
        <f>DATOS!$K123/DATOS!$K$154</f>
        <v>1.5734268472164905E-3</v>
      </c>
      <c r="K53" s="684">
        <f>DATOS!$L123/DATOS!$L$154</f>
        <v>0</v>
      </c>
      <c r="L53" s="684">
        <f>DATOS!$M123/DATOS!$M$154</f>
        <v>0</v>
      </c>
      <c r="M53" s="684">
        <f>DATOS!$N123/DATOS!$N$154</f>
        <v>0</v>
      </c>
      <c r="N53" s="684">
        <f>DATOS!$O123/DATOS!$O$154</f>
        <v>0</v>
      </c>
      <c r="O53" s="684">
        <f>DATOS!$P123/DATOS!$P$154</f>
        <v>0</v>
      </c>
      <c r="P53" s="684">
        <f>DATOS!$Q123/DATOS!$Q$154</f>
        <v>7.7620790318064766E-3</v>
      </c>
      <c r="Q53" s="684">
        <f>DATOS!$R123/DATOS!$R$154</f>
        <v>0</v>
      </c>
      <c r="R53" s="684">
        <f>DATOS!$S123/DATOS!$S$154</f>
        <v>3.3583857403310397E-3</v>
      </c>
      <c r="S53" s="684">
        <f>DATOS!$T123/DATOS!$T$154</f>
        <v>0</v>
      </c>
      <c r="T53" s="684">
        <f>DATOS!$U123/DATOS!$U$154</f>
        <v>0</v>
      </c>
      <c r="U53" s="684">
        <f>DATOS!$V123/DATOS!$V$154</f>
        <v>0</v>
      </c>
      <c r="V53" s="684">
        <f>DATOS!$W123/DATOS!$W$154</f>
        <v>3.3534441744377196E-3</v>
      </c>
      <c r="W53" s="684">
        <f>DATOS!$X123/DATOS!$X$154</f>
        <v>0</v>
      </c>
      <c r="X53" s="684">
        <f>DATOS!$Y123/DATOS!$Y$154</f>
        <v>4.6684686955831618E-5</v>
      </c>
      <c r="Y53" s="684">
        <f>DATOS!$Z123/DATOS!$Z$154</f>
        <v>0</v>
      </c>
      <c r="Z53" s="1125">
        <f t="shared" si="0"/>
        <v>2.0429988250870129E-3</v>
      </c>
      <c r="AA53" s="1125">
        <f t="shared" si="1"/>
        <v>0</v>
      </c>
    </row>
    <row r="54" spans="1:27" ht="13.5" thickBot="1" x14ac:dyDescent="0.25">
      <c r="A54" s="546" t="s">
        <v>756</v>
      </c>
      <c r="B54" s="1239">
        <f>DATOS!$C124/DATOS!$C$154</f>
        <v>0</v>
      </c>
      <c r="C54" s="1239">
        <f>DATOS!$D124/DATOS!$D$154</f>
        <v>0</v>
      </c>
      <c r="D54" s="1239">
        <f>DATOS!$E124/DATOS!$E$154</f>
        <v>0</v>
      </c>
      <c r="E54" s="1239">
        <f>DATOS!$F124/DATOS!$F$154</f>
        <v>0</v>
      </c>
      <c r="F54" s="1239">
        <f>DATOS!$G124/DATOS!$G$154</f>
        <v>0</v>
      </c>
      <c r="G54" s="1239">
        <f>DATOS!$H124/DATOS!$H$154</f>
        <v>0</v>
      </c>
      <c r="H54" s="684">
        <f>DATOS!$I124/DATOS!$I$154</f>
        <v>0</v>
      </c>
      <c r="I54" s="684">
        <f>DATOS!$J124/DATOS!$J$154</f>
        <v>0</v>
      </c>
      <c r="J54" s="684">
        <f>DATOS!$K124/DATOS!$K$154</f>
        <v>0</v>
      </c>
      <c r="K54" s="684">
        <f>DATOS!$L124/DATOS!$L$154</f>
        <v>0</v>
      </c>
      <c r="L54" s="684">
        <f>DATOS!$M124/DATOS!$M$154</f>
        <v>0</v>
      </c>
      <c r="M54" s="684">
        <f>DATOS!$N124/DATOS!$N$154</f>
        <v>0</v>
      </c>
      <c r="N54" s="684">
        <f>DATOS!$O124/DATOS!$O$154</f>
        <v>7.7632574259890973E-3</v>
      </c>
      <c r="O54" s="684">
        <f>DATOS!$P124/DATOS!$P$154</f>
        <v>0</v>
      </c>
      <c r="P54" s="684">
        <f>DATOS!$Q124/DATOS!$Q$154</f>
        <v>0</v>
      </c>
      <c r="Q54" s="684">
        <f>DATOS!$R124/DATOS!$R$154</f>
        <v>0</v>
      </c>
      <c r="R54" s="684">
        <f>DATOS!$S124/DATOS!$S$154</f>
        <v>1.0382927868052816E-2</v>
      </c>
      <c r="S54" s="684">
        <f>DATOS!$T124/DATOS!$T$154</f>
        <v>0</v>
      </c>
      <c r="T54" s="684">
        <f>DATOS!$U124/DATOS!$U$154</f>
        <v>0</v>
      </c>
      <c r="U54" s="684">
        <f>DATOS!$V124/DATOS!$V$154</f>
        <v>0</v>
      </c>
      <c r="V54" s="684">
        <f>DATOS!$W124/DATOS!$W$154</f>
        <v>0</v>
      </c>
      <c r="W54" s="684">
        <f>DATOS!$X124/DATOS!$X$154</f>
        <v>0</v>
      </c>
      <c r="X54" s="684">
        <f>DATOS!$Y124/DATOS!$Y$154</f>
        <v>0</v>
      </c>
      <c r="Y54" s="684">
        <f>DATOS!$Z124/DATOS!$Z$154</f>
        <v>0</v>
      </c>
      <c r="Z54" s="1125">
        <f t="shared" si="0"/>
        <v>1.512182107836826E-3</v>
      </c>
      <c r="AA54" s="1125">
        <f t="shared" si="1"/>
        <v>0</v>
      </c>
    </row>
    <row r="55" spans="1:27" ht="13.5" thickBot="1" x14ac:dyDescent="0.25">
      <c r="A55" s="546" t="s">
        <v>674</v>
      </c>
      <c r="B55" s="1239">
        <f>DATOS!$C125/DATOS!$C$154</f>
        <v>6.7412079574023717E-3</v>
      </c>
      <c r="C55" s="1239">
        <f>DATOS!$D125/DATOS!$D$154</f>
        <v>0</v>
      </c>
      <c r="D55" s="1239">
        <f>DATOS!$E125/DATOS!$E$154</f>
        <v>0</v>
      </c>
      <c r="E55" s="1239">
        <f>DATOS!$F125/DATOS!$F$154</f>
        <v>0</v>
      </c>
      <c r="F55" s="1239">
        <f>DATOS!$G125/DATOS!$G$154</f>
        <v>1.6912584764210863E-2</v>
      </c>
      <c r="G55" s="1239">
        <f>DATOS!$H125/DATOS!$H$154</f>
        <v>0</v>
      </c>
      <c r="H55" s="684">
        <f>DATOS!$I125/DATOS!$I$154</f>
        <v>7.7881535477672976E-3</v>
      </c>
      <c r="I55" s="684">
        <f>DATOS!$J125/DATOS!$J$154</f>
        <v>0</v>
      </c>
      <c r="J55" s="684">
        <f>DATOS!$K125/DATOS!$K$154</f>
        <v>6.5004297278770254E-3</v>
      </c>
      <c r="K55" s="684">
        <f>DATOS!$L125/DATOS!$L$154</f>
        <v>0</v>
      </c>
      <c r="L55" s="684">
        <f>DATOS!$M125/DATOS!$M$154</f>
        <v>0</v>
      </c>
      <c r="M55" s="684">
        <f>DATOS!$N125/DATOS!$N$154</f>
        <v>0</v>
      </c>
      <c r="N55" s="684">
        <f>DATOS!$O125/DATOS!$O$154</f>
        <v>1.2490860780354605E-2</v>
      </c>
      <c r="O55" s="684">
        <f>DATOS!$P125/DATOS!$P$154</f>
        <v>0</v>
      </c>
      <c r="P55" s="684">
        <f>DATOS!$Q125/DATOS!$Q$154</f>
        <v>0</v>
      </c>
      <c r="Q55" s="684">
        <f>DATOS!$R125/DATOS!$R$154</f>
        <v>0</v>
      </c>
      <c r="R55" s="684">
        <f>DATOS!$S125/DATOS!$S$154</f>
        <v>8.6461395697357295E-4</v>
      </c>
      <c r="S55" s="684">
        <f>DATOS!$T125/DATOS!$T$154</f>
        <v>0</v>
      </c>
      <c r="T55" s="684">
        <f>DATOS!$U125/DATOS!$U$154</f>
        <v>0</v>
      </c>
      <c r="U55" s="684">
        <f>DATOS!$V125/DATOS!$V$154</f>
        <v>0</v>
      </c>
      <c r="V55" s="684">
        <f>DATOS!$W125/DATOS!$W$154</f>
        <v>1.4549204921184748E-3</v>
      </c>
      <c r="W55" s="684">
        <f>DATOS!$X125/DATOS!$X$154</f>
        <v>0</v>
      </c>
      <c r="X55" s="684">
        <f>DATOS!$Y125/DATOS!$Y$154</f>
        <v>5.1873270945832963E-3</v>
      </c>
      <c r="Y55" s="684">
        <f>DATOS!$Z125/DATOS!$Z$154</f>
        <v>0</v>
      </c>
      <c r="Z55" s="1125">
        <f t="shared" si="0"/>
        <v>4.8283415267739585E-3</v>
      </c>
      <c r="AA55" s="1125">
        <f t="shared" si="1"/>
        <v>0</v>
      </c>
    </row>
    <row r="56" spans="1:27" ht="13.5" thickBot="1" x14ac:dyDescent="0.25">
      <c r="A56" s="546" t="s">
        <v>757</v>
      </c>
      <c r="B56" s="684">
        <f>DATOS!$C127/DATOS!$C$154</f>
        <v>1.7160094159097302E-3</v>
      </c>
      <c r="C56" s="1239">
        <f>DATOS!$D127/DATOS!$D$154</f>
        <v>0</v>
      </c>
      <c r="D56" s="684">
        <f>DATOS!$E127/DATOS!$E$154</f>
        <v>0</v>
      </c>
      <c r="E56" s="1239">
        <f>DATOS!$F127/DATOS!$F$154</f>
        <v>0</v>
      </c>
      <c r="F56" s="1239">
        <f>DATOS!$G127/DATOS!$G$154</f>
        <v>0</v>
      </c>
      <c r="G56" s="1239">
        <f>DATOS!$H127/DATOS!$H$154</f>
        <v>0</v>
      </c>
      <c r="H56" s="684">
        <f>DATOS!$I127/DATOS!$I$154</f>
        <v>0</v>
      </c>
      <c r="I56" s="684">
        <f>DATOS!$J127/DATOS!$J$154</f>
        <v>0</v>
      </c>
      <c r="J56" s="684">
        <f>DATOS!$K127/DATOS!$K$154</f>
        <v>0</v>
      </c>
      <c r="K56" s="684">
        <f>DATOS!$L127/DATOS!$L$154</f>
        <v>0</v>
      </c>
      <c r="L56" s="684">
        <f>DATOS!$M127/DATOS!$M$154</f>
        <v>0</v>
      </c>
      <c r="M56" s="684">
        <f>DATOS!$N127/DATOS!$N$154</f>
        <v>0</v>
      </c>
      <c r="N56" s="684">
        <f>DATOS!$O127/DATOS!$O$154</f>
        <v>0</v>
      </c>
      <c r="O56" s="684">
        <f>DATOS!$P127/DATOS!$P$154</f>
        <v>0</v>
      </c>
      <c r="P56" s="684">
        <f>DATOS!$Q127/DATOS!$Q$154</f>
        <v>0</v>
      </c>
      <c r="Q56" s="684">
        <f>DATOS!$R127/DATOS!$R$154</f>
        <v>0</v>
      </c>
      <c r="R56" s="684">
        <f>DATOS!$S127/DATOS!$S$154</f>
        <v>2.5915317534743479E-4</v>
      </c>
      <c r="S56" s="684">
        <f>DATOS!$T127/DATOS!$T$154</f>
        <v>0</v>
      </c>
      <c r="T56" s="684">
        <f>DATOS!$U127/DATOS!$U$154</f>
        <v>1.0888249112909134E-5</v>
      </c>
      <c r="U56" s="684">
        <f>DATOS!$V127/DATOS!$V$154</f>
        <v>0</v>
      </c>
      <c r="V56" s="684">
        <f>DATOS!$W127/DATOS!$W$154</f>
        <v>2.9503948602419075E-3</v>
      </c>
      <c r="W56" s="684">
        <f>DATOS!$X127/DATOS!$X$154</f>
        <v>0</v>
      </c>
      <c r="X56" s="684">
        <f>DATOS!$Y127/DATOS!$Y$154</f>
        <v>5.9253641136247821E-4</v>
      </c>
      <c r="Y56" s="684">
        <f>DATOS!$Z127/DATOS!$Z$154</f>
        <v>0</v>
      </c>
      <c r="Z56" s="1125">
        <f t="shared" si="0"/>
        <v>4.6074850933120501E-4</v>
      </c>
      <c r="AA56" s="1125">
        <f t="shared" si="1"/>
        <v>0</v>
      </c>
    </row>
    <row r="57" spans="1:27" ht="13.5" thickBot="1" x14ac:dyDescent="0.25">
      <c r="A57" s="546" t="s">
        <v>758</v>
      </c>
      <c r="B57" s="1239">
        <f>DATOS!$C128/DATOS!$C$154</f>
        <v>0</v>
      </c>
      <c r="C57" s="1239">
        <f>DATOS!$D128/DATOS!$D$154</f>
        <v>0</v>
      </c>
      <c r="D57" s="1239">
        <f>DATOS!$E128/DATOS!$E$154</f>
        <v>0</v>
      </c>
      <c r="E57" s="1239">
        <f>DATOS!$F128/DATOS!$F$154</f>
        <v>0</v>
      </c>
      <c r="F57" s="1239">
        <f>DATOS!$G128/DATOS!$G$154</f>
        <v>0</v>
      </c>
      <c r="G57" s="1239">
        <f>DATOS!$H128/DATOS!$H$154</f>
        <v>0</v>
      </c>
      <c r="H57" s="684">
        <f>DATOS!$I128/DATOS!$I$154</f>
        <v>0</v>
      </c>
      <c r="I57" s="684">
        <f>DATOS!$J128/DATOS!$J$154</f>
        <v>0</v>
      </c>
      <c r="J57" s="684">
        <f>DATOS!$K128/DATOS!$K$154</f>
        <v>0</v>
      </c>
      <c r="K57" s="684">
        <f>DATOS!$L128/DATOS!$L$154</f>
        <v>0</v>
      </c>
      <c r="L57" s="684">
        <f>DATOS!$M128/DATOS!$M$154</f>
        <v>0</v>
      </c>
      <c r="M57" s="684">
        <f>DATOS!$N128/DATOS!$N$154</f>
        <v>0</v>
      </c>
      <c r="N57" s="684">
        <f>DATOS!$O128/DATOS!$O$154</f>
        <v>0</v>
      </c>
      <c r="O57" s="684">
        <f>DATOS!$P128/DATOS!$P$154</f>
        <v>0</v>
      </c>
      <c r="P57" s="684">
        <f>DATOS!$Q128/DATOS!$Q$154</f>
        <v>0</v>
      </c>
      <c r="Q57" s="684">
        <f>DATOS!$R128/DATOS!$R$154</f>
        <v>0</v>
      </c>
      <c r="R57" s="684">
        <f>DATOS!$S128/DATOS!$S$154</f>
        <v>0</v>
      </c>
      <c r="S57" s="684">
        <f>DATOS!$T128/DATOS!$T$154</f>
        <v>0</v>
      </c>
      <c r="T57" s="684">
        <f>DATOS!$U128/DATOS!$U$154</f>
        <v>0</v>
      </c>
      <c r="U57" s="684">
        <f>DATOS!$V128/DATOS!$V$154</f>
        <v>0</v>
      </c>
      <c r="V57" s="684">
        <f>DATOS!$W128/DATOS!$W$154</f>
        <v>0</v>
      </c>
      <c r="W57" s="684">
        <f>DATOS!$X128/DATOS!$X$154</f>
        <v>0</v>
      </c>
      <c r="X57" s="684">
        <f>DATOS!$Y128/DATOS!$Y$154</f>
        <v>0</v>
      </c>
      <c r="Y57" s="684">
        <f>DATOS!$Z128/DATOS!$Z$154</f>
        <v>0</v>
      </c>
      <c r="Z57" s="1125">
        <f t="shared" si="0"/>
        <v>0</v>
      </c>
      <c r="AA57" s="1125">
        <f t="shared" si="1"/>
        <v>0</v>
      </c>
    </row>
    <row r="58" spans="1:27" ht="13.5" thickBot="1" x14ac:dyDescent="0.25">
      <c r="A58" s="546" t="s">
        <v>759</v>
      </c>
      <c r="B58" s="684">
        <f>DATOS!$C129/DATOS!$C$154</f>
        <v>2.3672710539614927E-4</v>
      </c>
      <c r="C58" s="1239">
        <f>DATOS!$D129/DATOS!$D$154</f>
        <v>0</v>
      </c>
      <c r="D58" s="684">
        <f>DATOS!$E129/DATOS!$E$154</f>
        <v>3.0301596624588036E-4</v>
      </c>
      <c r="E58" s="1239">
        <f>DATOS!$F129/DATOS!$F$154</f>
        <v>0</v>
      </c>
      <c r="F58" s="684">
        <f>DATOS!$G129/DATOS!$G$154</f>
        <v>2.6070173859594808E-4</v>
      </c>
      <c r="G58" s="1239">
        <f>DATOS!$H129/DATOS!$H$154</f>
        <v>0</v>
      </c>
      <c r="H58" s="684">
        <f>DATOS!$I129/DATOS!$I$154</f>
        <v>7.537978303561294E-4</v>
      </c>
      <c r="I58" s="684">
        <f>DATOS!$J129/DATOS!$J$154</f>
        <v>0</v>
      </c>
      <c r="J58" s="684">
        <f>DATOS!$K129/DATOS!$K$154</f>
        <v>6.1623174329133209E-4</v>
      </c>
      <c r="K58" s="684">
        <f>DATOS!$L129/DATOS!$L$154</f>
        <v>0</v>
      </c>
      <c r="L58" s="684">
        <f>DATOS!$M129/DATOS!$M$154</f>
        <v>8.4024012515439641E-4</v>
      </c>
      <c r="M58" s="684">
        <f>DATOS!$N129/DATOS!$N$154</f>
        <v>0</v>
      </c>
      <c r="N58" s="684">
        <f>DATOS!$O129/DATOS!$O$154</f>
        <v>4.1997909545721896E-4</v>
      </c>
      <c r="O58" s="684">
        <f>DATOS!$P129/DATOS!$P$154</f>
        <v>0</v>
      </c>
      <c r="P58" s="684">
        <f>DATOS!$Q129/DATOS!$Q$154</f>
        <v>0</v>
      </c>
      <c r="Q58" s="684">
        <f>DATOS!$R129/DATOS!$R$154</f>
        <v>0</v>
      </c>
      <c r="R58" s="684">
        <f>DATOS!$S129/DATOS!$S$154</f>
        <v>3.0171533920784544E-4</v>
      </c>
      <c r="S58" s="684">
        <f>DATOS!$T129/DATOS!$T$154</f>
        <v>0</v>
      </c>
      <c r="T58" s="684">
        <f>DATOS!$U129/DATOS!$U$154</f>
        <v>8.1844557090323685E-5</v>
      </c>
      <c r="U58" s="684">
        <f>DATOS!$V129/DATOS!$V$154</f>
        <v>0</v>
      </c>
      <c r="V58" s="684">
        <f>DATOS!$W129/DATOS!$W$154</f>
        <v>7.9501657910710093E-5</v>
      </c>
      <c r="W58" s="684">
        <f>DATOS!$X129/DATOS!$X$154</f>
        <v>0</v>
      </c>
      <c r="X58" s="684">
        <f>DATOS!$Y129/DATOS!$Y$154</f>
        <v>0</v>
      </c>
      <c r="Y58" s="684">
        <f>DATOS!$Z129/DATOS!$Z$154</f>
        <v>0</v>
      </c>
      <c r="Z58" s="1125">
        <f t="shared" si="0"/>
        <v>3.244795965588278E-4</v>
      </c>
      <c r="AA58" s="1125">
        <f t="shared" si="1"/>
        <v>0</v>
      </c>
    </row>
    <row r="59" spans="1:27" ht="13.5" thickBot="1" x14ac:dyDescent="0.25">
      <c r="A59" s="546" t="s">
        <v>760</v>
      </c>
      <c r="B59" s="684">
        <f>DATOS!$C130/DATOS!$C$154</f>
        <v>4.8574137498735105E-4</v>
      </c>
      <c r="C59" s="1239">
        <f>DATOS!$D130/DATOS!$D$154</f>
        <v>0</v>
      </c>
      <c r="D59" s="684">
        <f>DATOS!$E130/DATOS!$E$154</f>
        <v>1.4471800878727711E-3</v>
      </c>
      <c r="E59" s="1239">
        <f>DATOS!$F130/DATOS!$F$154</f>
        <v>0</v>
      </c>
      <c r="F59" s="684">
        <f>DATOS!$G130/DATOS!$G$154</f>
        <v>0</v>
      </c>
      <c r="G59" s="1239">
        <f>DATOS!$H130/DATOS!$H$154</f>
        <v>0</v>
      </c>
      <c r="H59" s="684">
        <f>DATOS!$I130/DATOS!$I$154</f>
        <v>6.6801277651329372E-3</v>
      </c>
      <c r="I59" s="684">
        <f>DATOS!$J130/DATOS!$J$154</f>
        <v>0</v>
      </c>
      <c r="J59" s="684">
        <f>DATOS!$K130/DATOS!$K$154</f>
        <v>7.3926928150615289E-4</v>
      </c>
      <c r="K59" s="684">
        <f>DATOS!$L130/DATOS!$L$154</f>
        <v>0</v>
      </c>
      <c r="L59" s="684">
        <f>DATOS!$M130/DATOS!$M$154</f>
        <v>0</v>
      </c>
      <c r="M59" s="684">
        <f>DATOS!$N130/DATOS!$N$154</f>
        <v>0</v>
      </c>
      <c r="N59" s="684">
        <f>DATOS!$O130/DATOS!$O$154</f>
        <v>0</v>
      </c>
      <c r="O59" s="684">
        <f>DATOS!$P130/DATOS!$P$154</f>
        <v>0</v>
      </c>
      <c r="P59" s="684">
        <f>DATOS!$Q130/DATOS!$Q$154</f>
        <v>0</v>
      </c>
      <c r="Q59" s="684">
        <f>DATOS!$R130/DATOS!$R$154</f>
        <v>0</v>
      </c>
      <c r="R59" s="684">
        <f>DATOS!$S130/DATOS!$S$154</f>
        <v>1.4259724964417198E-4</v>
      </c>
      <c r="S59" s="684">
        <f>DATOS!$T130/DATOS!$T$154</f>
        <v>0</v>
      </c>
      <c r="T59" s="684">
        <f>DATOS!$U130/DATOS!$U$154</f>
        <v>0</v>
      </c>
      <c r="U59" s="684">
        <f>DATOS!$V130/DATOS!$V$154</f>
        <v>0</v>
      </c>
      <c r="V59" s="684">
        <f>DATOS!$W130/DATOS!$W$154</f>
        <v>1.0034072884791136E-3</v>
      </c>
      <c r="W59" s="684">
        <f>DATOS!$X130/DATOS!$X$154</f>
        <v>0</v>
      </c>
      <c r="X59" s="684">
        <f>DATOS!$Y130/DATOS!$Y$154</f>
        <v>0</v>
      </c>
      <c r="Y59" s="684">
        <f>DATOS!$Z130/DATOS!$Z$154</f>
        <v>0</v>
      </c>
      <c r="Z59" s="1125">
        <f t="shared" si="0"/>
        <v>8.7486025396854138E-4</v>
      </c>
      <c r="AA59" s="1125">
        <f t="shared" si="1"/>
        <v>0</v>
      </c>
    </row>
    <row r="60" spans="1:27" ht="13.5" thickBot="1" x14ac:dyDescent="0.25">
      <c r="A60" s="546" t="s">
        <v>761</v>
      </c>
      <c r="B60" s="1239">
        <f>DATOS!$C131/DATOS!$C$154</f>
        <v>0</v>
      </c>
      <c r="C60" s="1239">
        <f>DATOS!$D131/DATOS!$D$154</f>
        <v>0</v>
      </c>
      <c r="D60" s="1239">
        <f>DATOS!$E131/DATOS!$E$154</f>
        <v>0</v>
      </c>
      <c r="E60" s="1239">
        <f>DATOS!$F131/DATOS!$F$154</f>
        <v>0</v>
      </c>
      <c r="F60" s="1239">
        <f>DATOS!$G131/DATOS!$G$154</f>
        <v>0</v>
      </c>
      <c r="G60" s="1239">
        <f>DATOS!$H131/DATOS!$H$154</f>
        <v>0</v>
      </c>
      <c r="H60" s="684">
        <f>DATOS!$I131/DATOS!$I$154</f>
        <v>0</v>
      </c>
      <c r="I60" s="684">
        <f>DATOS!$J131/DATOS!$J$154</f>
        <v>0</v>
      </c>
      <c r="J60" s="684">
        <f>DATOS!$K131/DATOS!$K$154</f>
        <v>0</v>
      </c>
      <c r="K60" s="684">
        <f>DATOS!$L131/DATOS!$L$154</f>
        <v>0</v>
      </c>
      <c r="L60" s="684">
        <f>DATOS!$M131/DATOS!$M$154</f>
        <v>0</v>
      </c>
      <c r="M60" s="684">
        <f>DATOS!$N131/DATOS!$N$154</f>
        <v>0</v>
      </c>
      <c r="N60" s="684">
        <f>DATOS!$O131/DATOS!$O$154</f>
        <v>0</v>
      </c>
      <c r="O60" s="684">
        <f>DATOS!$P131/DATOS!$P$154</f>
        <v>0</v>
      </c>
      <c r="P60" s="684">
        <f>DATOS!$Q131/DATOS!$Q$154</f>
        <v>0</v>
      </c>
      <c r="Q60" s="684">
        <f>DATOS!$R131/DATOS!$R$154</f>
        <v>0</v>
      </c>
      <c r="R60" s="684">
        <f>DATOS!$S131/DATOS!$S$154</f>
        <v>0</v>
      </c>
      <c r="S60" s="684">
        <f>DATOS!$T131/DATOS!$T$154</f>
        <v>0</v>
      </c>
      <c r="T60" s="684">
        <f>DATOS!$U131/DATOS!$U$154</f>
        <v>0</v>
      </c>
      <c r="U60" s="684">
        <f>DATOS!$V131/DATOS!$V$154</f>
        <v>0</v>
      </c>
      <c r="V60" s="684">
        <f>DATOS!$W131/DATOS!$W$154</f>
        <v>0</v>
      </c>
      <c r="W60" s="684">
        <f>DATOS!$X131/DATOS!$X$154</f>
        <v>0</v>
      </c>
      <c r="X60" s="684">
        <f>DATOS!$Y131/DATOS!$Y$154</f>
        <v>0</v>
      </c>
      <c r="Y60" s="684">
        <f>DATOS!$Z131/DATOS!$Z$154</f>
        <v>0</v>
      </c>
      <c r="Z60" s="1125">
        <f t="shared" si="0"/>
        <v>0</v>
      </c>
      <c r="AA60" s="1125">
        <f t="shared" si="1"/>
        <v>0</v>
      </c>
    </row>
    <row r="61" spans="1:27" ht="13.5" thickBot="1" x14ac:dyDescent="0.25">
      <c r="A61" s="546" t="s">
        <v>762</v>
      </c>
      <c r="B61" s="1239">
        <f>DATOS!$C132/DATOS!$C$154</f>
        <v>0</v>
      </c>
      <c r="C61" s="1239">
        <f>DATOS!$D132/DATOS!$D$154</f>
        <v>0</v>
      </c>
      <c r="D61" s="1239">
        <f>DATOS!$E132/DATOS!$E$154</f>
        <v>0</v>
      </c>
      <c r="E61" s="1239">
        <f>DATOS!$F132/DATOS!$F$154</f>
        <v>0</v>
      </c>
      <c r="F61" s="1239">
        <f>DATOS!$G132/DATOS!$G$154</f>
        <v>0</v>
      </c>
      <c r="G61" s="1239">
        <f>DATOS!$H132/DATOS!$H$154</f>
        <v>0</v>
      </c>
      <c r="H61" s="684">
        <f>DATOS!$I132/DATOS!$I$154</f>
        <v>0</v>
      </c>
      <c r="I61" s="684">
        <f>DATOS!$J132/DATOS!$J$154</f>
        <v>0</v>
      </c>
      <c r="J61" s="684">
        <f>DATOS!$K132/DATOS!$K$154</f>
        <v>0</v>
      </c>
      <c r="K61" s="684">
        <f>DATOS!$L132/DATOS!$L$154</f>
        <v>0</v>
      </c>
      <c r="L61" s="684">
        <f>DATOS!$M132/DATOS!$M$154</f>
        <v>0</v>
      </c>
      <c r="M61" s="684">
        <f>DATOS!$N132/DATOS!$N$154</f>
        <v>0</v>
      </c>
      <c r="N61" s="684">
        <f>DATOS!$O132/DATOS!$O$154</f>
        <v>0</v>
      </c>
      <c r="O61" s="684">
        <f>DATOS!$P132/DATOS!$P$154</f>
        <v>0</v>
      </c>
      <c r="P61" s="684">
        <f>DATOS!$Q132/DATOS!$Q$154</f>
        <v>0</v>
      </c>
      <c r="Q61" s="684">
        <f>DATOS!$R132/DATOS!$R$154</f>
        <v>0</v>
      </c>
      <c r="R61" s="684">
        <f>DATOS!$S132/DATOS!$S$154</f>
        <v>0</v>
      </c>
      <c r="S61" s="684">
        <f>DATOS!$T132/DATOS!$T$154</f>
        <v>0</v>
      </c>
      <c r="T61" s="684">
        <f>DATOS!$U132/DATOS!$U$154</f>
        <v>0</v>
      </c>
      <c r="U61" s="684">
        <f>DATOS!$V132/DATOS!$V$154</f>
        <v>0</v>
      </c>
      <c r="V61" s="684">
        <f>DATOS!$W132/DATOS!$W$154</f>
        <v>0</v>
      </c>
      <c r="W61" s="684">
        <f>DATOS!$X132/DATOS!$X$154</f>
        <v>0</v>
      </c>
      <c r="X61" s="684">
        <f>DATOS!$Y132/DATOS!$Y$154</f>
        <v>0</v>
      </c>
      <c r="Y61" s="684">
        <f>DATOS!$Z132/DATOS!$Z$154</f>
        <v>0</v>
      </c>
      <c r="Z61" s="1125">
        <f t="shared" si="0"/>
        <v>0</v>
      </c>
      <c r="AA61" s="1125">
        <f t="shared" si="1"/>
        <v>0</v>
      </c>
    </row>
    <row r="62" spans="1:27" ht="13.5" thickBot="1" x14ac:dyDescent="0.25">
      <c r="A62" s="546" t="s">
        <v>763</v>
      </c>
      <c r="B62" s="684">
        <f>DATOS!$C133/DATOS!$C$154</f>
        <v>3.2030288656519364E-2</v>
      </c>
      <c r="C62" s="1239">
        <f>DATOS!$D133/DATOS!$D$154</f>
        <v>0</v>
      </c>
      <c r="D62" s="684">
        <f>DATOS!$E133/DATOS!$E$154</f>
        <v>3.2834661382910954E-2</v>
      </c>
      <c r="E62" s="1239">
        <f>DATOS!$F133/DATOS!$F$154</f>
        <v>0</v>
      </c>
      <c r="F62" s="684">
        <f>DATOS!$G133/DATOS!$G$154</f>
        <v>1.5252994545776243E-2</v>
      </c>
      <c r="G62" s="1239">
        <f>DATOS!$H133/DATOS!$H$154</f>
        <v>0</v>
      </c>
      <c r="H62" s="684">
        <f>DATOS!$I133/DATOS!$I$154</f>
        <v>9.972091810949036E-3</v>
      </c>
      <c r="I62" s="684">
        <f>DATOS!$J133/DATOS!$J$154</f>
        <v>0</v>
      </c>
      <c r="J62" s="684">
        <f>DATOS!$K133/DATOS!$K$154</f>
        <v>1.5170440119007495E-2</v>
      </c>
      <c r="K62" s="684">
        <f>DATOS!$L133/DATOS!$L$154</f>
        <v>0</v>
      </c>
      <c r="L62" s="684">
        <f>DATOS!$M133/DATOS!$M$154</f>
        <v>8.9549979077294534E-3</v>
      </c>
      <c r="M62" s="684">
        <f>DATOS!$N133/DATOS!$N$154</f>
        <v>0</v>
      </c>
      <c r="N62" s="684">
        <f>DATOS!$O133/DATOS!$O$154</f>
        <v>1.4308044793368403E-2</v>
      </c>
      <c r="O62" s="684">
        <f>DATOS!$P133/DATOS!$P$154</f>
        <v>0</v>
      </c>
      <c r="P62" s="684">
        <f>DATOS!$Q133/DATOS!$Q$154</f>
        <v>0</v>
      </c>
      <c r="Q62" s="684">
        <f>DATOS!$R133/DATOS!$R$154</f>
        <v>0</v>
      </c>
      <c r="R62" s="684">
        <f>DATOS!$S133/DATOS!$S$154</f>
        <v>4.443895927668964E-3</v>
      </c>
      <c r="S62" s="684">
        <f>DATOS!$T133/DATOS!$T$154</f>
        <v>0</v>
      </c>
      <c r="T62" s="684">
        <f>DATOS!$U133/DATOS!$U$154</f>
        <v>1.9755704958409996E-2</v>
      </c>
      <c r="U62" s="684">
        <f>DATOS!$V133/DATOS!$V$154</f>
        <v>0</v>
      </c>
      <c r="V62" s="684">
        <f>DATOS!$W133/DATOS!$W$154</f>
        <v>1.7249731691942639E-2</v>
      </c>
      <c r="W62" s="684">
        <f>DATOS!$X133/DATOS!$X$154</f>
        <v>0</v>
      </c>
      <c r="X62" s="684">
        <f>DATOS!$Y133/DATOS!$Y$154</f>
        <v>2.2062105716396274E-2</v>
      </c>
      <c r="Y62" s="684">
        <f>DATOS!$Z133/DATOS!$Z$154</f>
        <v>0</v>
      </c>
      <c r="Z62" s="1125">
        <f t="shared" si="0"/>
        <v>1.6002913125889903E-2</v>
      </c>
      <c r="AA62" s="1125">
        <f t="shared" si="1"/>
        <v>0</v>
      </c>
    </row>
    <row r="63" spans="1:27" ht="13.5" thickBot="1" x14ac:dyDescent="0.25">
      <c r="A63" s="546" t="s">
        <v>764</v>
      </c>
      <c r="B63" s="1239">
        <f>DATOS!$C134/DATOS!$C$154</f>
        <v>0</v>
      </c>
      <c r="C63" s="1239">
        <f>DATOS!$D134/DATOS!$D$154</f>
        <v>0</v>
      </c>
      <c r="D63" s="1239">
        <f>DATOS!$E134/DATOS!$E$154</f>
        <v>0</v>
      </c>
      <c r="E63" s="1239">
        <f>DATOS!$F134/DATOS!$F$154</f>
        <v>0</v>
      </c>
      <c r="F63" s="1239">
        <f>DATOS!$G134/DATOS!$G$154</f>
        <v>0</v>
      </c>
      <c r="G63" s="1239">
        <f>DATOS!$H134/DATOS!$H$154</f>
        <v>0</v>
      </c>
      <c r="H63" s="684">
        <f>DATOS!$I134/DATOS!$I$154</f>
        <v>0</v>
      </c>
      <c r="I63" s="684">
        <f>DATOS!$J134/DATOS!$J$154</f>
        <v>0</v>
      </c>
      <c r="J63" s="684">
        <f>DATOS!$K134/DATOS!$K$154</f>
        <v>0</v>
      </c>
      <c r="K63" s="684">
        <f>DATOS!$L134/DATOS!$L$154</f>
        <v>0</v>
      </c>
      <c r="L63" s="684">
        <f>DATOS!$M134/DATOS!$M$154</f>
        <v>0</v>
      </c>
      <c r="M63" s="684">
        <f>DATOS!$N134/DATOS!$N$154</f>
        <v>0</v>
      </c>
      <c r="N63" s="684">
        <f>DATOS!$O134/DATOS!$O$154</f>
        <v>0</v>
      </c>
      <c r="O63" s="684">
        <f>DATOS!$P134/DATOS!$P$154</f>
        <v>0</v>
      </c>
      <c r="P63" s="684">
        <f>DATOS!$Q134/DATOS!$Q$154</f>
        <v>0</v>
      </c>
      <c r="Q63" s="684">
        <f>DATOS!$R134/DATOS!$R$154</f>
        <v>0</v>
      </c>
      <c r="R63" s="684">
        <f>DATOS!$S134/DATOS!$S$154</f>
        <v>0</v>
      </c>
      <c r="S63" s="684">
        <f>DATOS!$T134/DATOS!$T$154</f>
        <v>0</v>
      </c>
      <c r="T63" s="684">
        <f>DATOS!$U134/DATOS!$U$154</f>
        <v>0</v>
      </c>
      <c r="U63" s="684">
        <f>DATOS!$V134/DATOS!$V$154</f>
        <v>0</v>
      </c>
      <c r="V63" s="684">
        <f>DATOS!$W134/DATOS!$W$154</f>
        <v>0</v>
      </c>
      <c r="W63" s="684">
        <f>DATOS!$X134/DATOS!$X$154</f>
        <v>0</v>
      </c>
      <c r="X63" s="684">
        <f>DATOS!$Y134/DATOS!$Y$154</f>
        <v>0</v>
      </c>
      <c r="Y63" s="684">
        <f>DATOS!$Z134/DATOS!$Z$154</f>
        <v>0</v>
      </c>
      <c r="Z63" s="1125">
        <f t="shared" si="0"/>
        <v>0</v>
      </c>
      <c r="AA63" s="1125">
        <f t="shared" si="1"/>
        <v>0</v>
      </c>
    </row>
    <row r="64" spans="1:27" ht="13.5" thickBot="1" x14ac:dyDescent="0.25">
      <c r="A64" s="546" t="s">
        <v>805</v>
      </c>
      <c r="B64" s="1239">
        <f>DATOS!$C135/DATOS!$C$154</f>
        <v>0</v>
      </c>
      <c r="C64" s="1239">
        <f>DATOS!$D135/DATOS!$D$154</f>
        <v>0</v>
      </c>
      <c r="D64" s="1239">
        <f>DATOS!$E135/DATOS!$E$154</f>
        <v>0</v>
      </c>
      <c r="E64" s="1239">
        <f>DATOS!$F135/DATOS!$F$154</f>
        <v>0</v>
      </c>
      <c r="F64" s="1239">
        <f>DATOS!$G135/DATOS!$G$154</f>
        <v>0</v>
      </c>
      <c r="G64" s="1239">
        <f>DATOS!$H135/DATOS!$H$154</f>
        <v>0</v>
      </c>
      <c r="H64" s="684">
        <f>DATOS!$I135/DATOS!$I$154</f>
        <v>0</v>
      </c>
      <c r="I64" s="684">
        <f>DATOS!$J135/DATOS!$J$154</f>
        <v>0</v>
      </c>
      <c r="J64" s="684">
        <f>DATOS!$K135/DATOS!$K$154</f>
        <v>0</v>
      </c>
      <c r="K64" s="684">
        <f>DATOS!$L135/DATOS!$L$154</f>
        <v>0</v>
      </c>
      <c r="L64" s="684">
        <f>DATOS!$M135/DATOS!$M$154</f>
        <v>0</v>
      </c>
      <c r="M64" s="684">
        <f>DATOS!$N135/DATOS!$N$154</f>
        <v>0</v>
      </c>
      <c r="N64" s="684">
        <f>DATOS!$O135/DATOS!$O$154</f>
        <v>0</v>
      </c>
      <c r="O64" s="684">
        <f>DATOS!$P135/DATOS!$P$154</f>
        <v>0</v>
      </c>
      <c r="P64" s="684">
        <f>DATOS!$Q135/DATOS!$Q$154</f>
        <v>0</v>
      </c>
      <c r="Q64" s="684">
        <f>DATOS!$R135/DATOS!$R$154</f>
        <v>0</v>
      </c>
      <c r="R64" s="684">
        <f>DATOS!$S135/DATOS!$S$154</f>
        <v>0</v>
      </c>
      <c r="S64" s="684">
        <f>DATOS!$T135/DATOS!$T$154</f>
        <v>0</v>
      </c>
      <c r="T64" s="684">
        <f>DATOS!$U135/DATOS!$U$154</f>
        <v>0</v>
      </c>
      <c r="U64" s="684">
        <f>DATOS!$V135/DATOS!$V$154</f>
        <v>0</v>
      </c>
      <c r="V64" s="684">
        <f>DATOS!$W135/DATOS!$W$154</f>
        <v>0</v>
      </c>
      <c r="W64" s="684">
        <f>DATOS!$X135/DATOS!$X$154</f>
        <v>0</v>
      </c>
      <c r="X64" s="684">
        <f>DATOS!$Y135/DATOS!$Y$154</f>
        <v>0</v>
      </c>
      <c r="Y64" s="684">
        <f>DATOS!$Z135/DATOS!$Z$154</f>
        <v>0</v>
      </c>
      <c r="Z64" s="1125">
        <f t="shared" ref="Z64:Z67" si="2">AVERAGE(B64,D64,F64,H64,J64,L64,N64,P64,R64,T64,V64,X64)</f>
        <v>0</v>
      </c>
      <c r="AA64" s="1125">
        <f t="shared" ref="AA64:AA67" si="3">AVERAGE(C64,E64,G64,I64,K64,M64,O64,Q64,S64,U64,W64,Y64)</f>
        <v>0</v>
      </c>
    </row>
    <row r="65" spans="1:27" ht="13.5" thickBot="1" x14ac:dyDescent="0.25">
      <c r="A65" s="546" t="s">
        <v>806</v>
      </c>
      <c r="B65" s="684">
        <f>DATOS!$C136/DATOS!$C$154</f>
        <v>3.7007009512655419E-3</v>
      </c>
      <c r="C65" s="1239">
        <f>DATOS!$D136/DATOS!$D$154</f>
        <v>0</v>
      </c>
      <c r="D65" s="684">
        <f>DATOS!$E136/DATOS!$E$154</f>
        <v>2.1968657552826325E-4</v>
      </c>
      <c r="E65" s="1239">
        <f>DATOS!$F136/DATOS!$F$154</f>
        <v>0</v>
      </c>
      <c r="F65" s="684">
        <f>DATOS!$G136/DATOS!$G$154</f>
        <v>5.4435607393483229E-4</v>
      </c>
      <c r="G65" s="1239">
        <f>DATOS!$H136/DATOS!$H$154</f>
        <v>0</v>
      </c>
      <c r="H65" s="684">
        <f>DATOS!$I136/DATOS!$I$154</f>
        <v>9.4619717735760708E-4</v>
      </c>
      <c r="I65" s="684">
        <f>DATOS!$J136/DATOS!$J$154</f>
        <v>0</v>
      </c>
      <c r="J65" s="684">
        <f>DATOS!$K136/DATOS!$K$154</f>
        <v>1.0601145590310937E-4</v>
      </c>
      <c r="K65" s="684">
        <f>DATOS!$L136/DATOS!$L$154</f>
        <v>0</v>
      </c>
      <c r="L65" s="684">
        <f>DATOS!$M136/DATOS!$M$154</f>
        <v>1.1227857775181558E-3</v>
      </c>
      <c r="M65" s="684">
        <f>DATOS!$N136/DATOS!$N$154</f>
        <v>0</v>
      </c>
      <c r="N65" s="684">
        <f>DATOS!$O136/DATOS!$O$154</f>
        <v>2.4996346163357365E-3</v>
      </c>
      <c r="O65" s="684">
        <f>DATOS!$P136/DATOS!$P$154</f>
        <v>0</v>
      </c>
      <c r="P65" s="684">
        <f>DATOS!$Q136/DATOS!$Q$154</f>
        <v>0</v>
      </c>
      <c r="Q65" s="684">
        <f>DATOS!$R136/DATOS!$R$154</f>
        <v>0</v>
      </c>
      <c r="R65" s="684">
        <f>DATOS!$S136/DATOS!$S$154</f>
        <v>1.6268827107170132E-4</v>
      </c>
      <c r="S65" s="684">
        <f>DATOS!$T136/DATOS!$T$154</f>
        <v>0</v>
      </c>
      <c r="T65" s="684">
        <f>DATOS!$U136/DATOS!$U$154</f>
        <v>1.2720982587753169E-3</v>
      </c>
      <c r="U65" s="684">
        <f>DATOS!$V136/DATOS!$V$154</f>
        <v>0</v>
      </c>
      <c r="V65" s="684">
        <f>DATOS!$W136/DATOS!$W$154</f>
        <v>1.5969393628407888E-3</v>
      </c>
      <c r="W65" s="684">
        <f>DATOS!$X136/DATOS!$X$154</f>
        <v>0</v>
      </c>
      <c r="X65" s="684">
        <f>DATOS!$Y136/DATOS!$Y$154</f>
        <v>1.3909642626327267E-3</v>
      </c>
      <c r="Y65" s="684">
        <f>DATOS!$Z136/DATOS!$Z$154</f>
        <v>0</v>
      </c>
      <c r="Z65" s="1125">
        <f t="shared" si="2"/>
        <v>1.1301718985969815E-3</v>
      </c>
      <c r="AA65" s="1125">
        <f t="shared" si="3"/>
        <v>0</v>
      </c>
    </row>
    <row r="66" spans="1:27" ht="13.5" thickBot="1" x14ac:dyDescent="0.25">
      <c r="A66" s="546" t="s">
        <v>809</v>
      </c>
      <c r="B66" s="1239">
        <f>DATOS!$C137/DATOS!$C$154</f>
        <v>0</v>
      </c>
      <c r="C66" s="1239">
        <f>DATOS!$D137/DATOS!$D$154</f>
        <v>0</v>
      </c>
      <c r="D66" s="1239">
        <f>DATOS!$E137/DATOS!$E$154</f>
        <v>0</v>
      </c>
      <c r="E66" s="1239">
        <f>DATOS!$F137/DATOS!$F$154</f>
        <v>0</v>
      </c>
      <c r="F66" s="1239">
        <f>DATOS!$G137/DATOS!$G$154</f>
        <v>0</v>
      </c>
      <c r="G66" s="1239">
        <f>DATOS!$H137/DATOS!$H$154</f>
        <v>0</v>
      </c>
      <c r="H66" s="684">
        <f>DATOS!$I137/DATOS!$I$154</f>
        <v>0</v>
      </c>
      <c r="I66" s="684">
        <f>DATOS!$J137/DATOS!$J$154</f>
        <v>0</v>
      </c>
      <c r="J66" s="684">
        <f>DATOS!$K137/DATOS!$K$154</f>
        <v>0</v>
      </c>
      <c r="K66" s="684">
        <f>DATOS!$L137/DATOS!$L$154</f>
        <v>0</v>
      </c>
      <c r="L66" s="684">
        <f>DATOS!$M137/DATOS!$M$154</f>
        <v>0</v>
      </c>
      <c r="M66" s="684">
        <f>DATOS!$N137/DATOS!$N$154</f>
        <v>0</v>
      </c>
      <c r="N66" s="684">
        <f>DATOS!$O137/DATOS!$O$154</f>
        <v>0</v>
      </c>
      <c r="O66" s="684">
        <f>DATOS!$P137/DATOS!$P$154</f>
        <v>0</v>
      </c>
      <c r="P66" s="684">
        <f>DATOS!$Q137/DATOS!$Q$154</f>
        <v>0</v>
      </c>
      <c r="Q66" s="684">
        <f>DATOS!$R137/DATOS!$R$154</f>
        <v>0</v>
      </c>
      <c r="R66" s="684">
        <f>DATOS!$S137/DATOS!$S$154</f>
        <v>0</v>
      </c>
      <c r="S66" s="684">
        <f>DATOS!$T137/DATOS!$T$154</f>
        <v>0</v>
      </c>
      <c r="T66" s="684">
        <f>DATOS!$U137/DATOS!$U$154</f>
        <v>0</v>
      </c>
      <c r="U66" s="684">
        <f>DATOS!$V137/DATOS!$V$154</f>
        <v>0</v>
      </c>
      <c r="V66" s="684">
        <f>DATOS!$W137/DATOS!$W$154</f>
        <v>0</v>
      </c>
      <c r="W66" s="684">
        <f>DATOS!$X137/DATOS!$X$154</f>
        <v>0</v>
      </c>
      <c r="X66" s="684">
        <f>DATOS!$Y137/DATOS!$Y$154</f>
        <v>0</v>
      </c>
      <c r="Y66" s="684">
        <f>DATOS!$Z137/DATOS!$Z$154</f>
        <v>0</v>
      </c>
      <c r="Z66" s="1125">
        <f t="shared" si="2"/>
        <v>0</v>
      </c>
      <c r="AA66" s="1125">
        <f t="shared" si="3"/>
        <v>0</v>
      </c>
    </row>
    <row r="67" spans="1:27" ht="13.5" thickBot="1" x14ac:dyDescent="0.25">
      <c r="A67" s="546" t="s">
        <v>808</v>
      </c>
      <c r="B67" s="1239">
        <f>DATOS!$C138/DATOS!$C$154</f>
        <v>1.1399846423028274E-2</v>
      </c>
      <c r="C67" s="1239">
        <f>DATOS!$D138/DATOS!$D$154</f>
        <v>0</v>
      </c>
      <c r="D67" s="1239">
        <f>DATOS!$E138/DATOS!$E$154</f>
        <v>0</v>
      </c>
      <c r="E67" s="1239">
        <f>DATOS!$F138/DATOS!$F$154</f>
        <v>0</v>
      </c>
      <c r="F67" s="684">
        <f>DATOS!$G138/DATOS!$G$154</f>
        <v>6.3749030162423047E-3</v>
      </c>
      <c r="G67" s="1239">
        <f>DATOS!$H138/DATOS!$H$154</f>
        <v>0</v>
      </c>
      <c r="H67" s="684">
        <f>DATOS!$I138/DATOS!$I$154</f>
        <v>1.7027482442390978E-2</v>
      </c>
      <c r="I67" s="684">
        <f>DATOS!$J138/DATOS!$J$154</f>
        <v>0</v>
      </c>
      <c r="J67" s="684">
        <f>DATOS!$K138/DATOS!$K$154</f>
        <v>6.849946285521216E-3</v>
      </c>
      <c r="K67" s="684">
        <f>DATOS!$L138/DATOS!$L$154</f>
        <v>0</v>
      </c>
      <c r="L67" s="684">
        <f>DATOS!$M138/DATOS!$M$154</f>
        <v>1.1490978413945308E-2</v>
      </c>
      <c r="M67" s="684">
        <f>DATOS!$N138/DATOS!$N$154</f>
        <v>0</v>
      </c>
      <c r="N67" s="684">
        <f>DATOS!$O138/DATOS!$O$154</f>
        <v>8.3493522612304531E-3</v>
      </c>
      <c r="O67" s="684">
        <f>DATOS!$P138/DATOS!$P$154</f>
        <v>0</v>
      </c>
      <c r="P67" s="684">
        <f>DATOS!$Q138/DATOS!$Q$154</f>
        <v>0</v>
      </c>
      <c r="Q67" s="684">
        <f>DATOS!$R138/DATOS!$R$154</f>
        <v>0</v>
      </c>
      <c r="R67" s="684">
        <f>DATOS!$S138/DATOS!$S$154</f>
        <v>8.950655051302811E-3</v>
      </c>
      <c r="S67" s="684">
        <f>DATOS!$T138/DATOS!$T$154</f>
        <v>0</v>
      </c>
      <c r="T67" s="684">
        <f>DATOS!$U138/DATOS!$U$154</f>
        <v>0</v>
      </c>
      <c r="U67" s="684">
        <f>DATOS!$V138/DATOS!$V$154</f>
        <v>0</v>
      </c>
      <c r="V67" s="684">
        <f>DATOS!$W138/DATOS!$W$154</f>
        <v>1.8843217952470136E-2</v>
      </c>
      <c r="W67" s="684">
        <f>DATOS!$X138/DATOS!$X$154</f>
        <v>0</v>
      </c>
      <c r="X67" s="684">
        <f>DATOS!$Y138/DATOS!$Y$154</f>
        <v>2.3216953196925467E-2</v>
      </c>
      <c r="Y67" s="684">
        <f>DATOS!$Z138/DATOS!$Z$154</f>
        <v>0</v>
      </c>
      <c r="Z67" s="1125">
        <f t="shared" si="2"/>
        <v>9.375277920254747E-3</v>
      </c>
      <c r="AA67" s="1125">
        <f t="shared" si="3"/>
        <v>0</v>
      </c>
    </row>
    <row r="68" spans="1:27" ht="13.5" thickBot="1" x14ac:dyDescent="0.25">
      <c r="A68" s="546" t="s">
        <v>655</v>
      </c>
      <c r="B68" s="1239">
        <f>DATOS!$C143/DATOS!$C$154</f>
        <v>2.096785698814431E-4</v>
      </c>
      <c r="C68" s="1239">
        <f>DATOS!$D143/DATOS!$D$154</f>
        <v>0</v>
      </c>
      <c r="D68" s="1239">
        <f>DATOS!$E143/DATOS!$E$154</f>
        <v>8.2622973127596019E-4</v>
      </c>
      <c r="E68" s="1239">
        <f>DATOS!$F143/DATOS!$F$154</f>
        <v>0</v>
      </c>
      <c r="F68" s="1239">
        <f>DATOS!$G143/DATOS!$G$154</f>
        <v>0</v>
      </c>
      <c r="G68" s="1239">
        <f>DATOS!$H143/DATOS!$H$154</f>
        <v>0</v>
      </c>
      <c r="H68" s="684">
        <f>DATOS!$I143/DATOS!$I$154</f>
        <v>2.3372126700859776E-4</v>
      </c>
      <c r="I68" s="684">
        <f>DATOS!$J143/DATOS!$J$154</f>
        <v>0</v>
      </c>
      <c r="J68" s="684">
        <f>DATOS!$K143/DATOS!$K$154</f>
        <v>0</v>
      </c>
      <c r="K68" s="684">
        <f>DATOS!$L143/DATOS!$L$154</f>
        <v>0</v>
      </c>
      <c r="L68" s="684">
        <f>DATOS!$M143/DATOS!$M$154</f>
        <v>0</v>
      </c>
      <c r="M68" s="684">
        <f>DATOS!$N143/DATOS!$N$154</f>
        <v>0</v>
      </c>
      <c r="N68" s="684">
        <f>DATOS!$O143/DATOS!$O$154</f>
        <v>6.4792543377913592E-4</v>
      </c>
      <c r="O68" s="684">
        <f>DATOS!$P143/DATOS!$P$154</f>
        <v>0</v>
      </c>
      <c r="P68" s="684">
        <f>DATOS!$Q143/DATOS!$Q$154</f>
        <v>2.6491737309919713E-3</v>
      </c>
      <c r="Q68" s="684">
        <f>DATOS!$R143/DATOS!$R$154</f>
        <v>0</v>
      </c>
      <c r="R68" s="684">
        <f>DATOS!$S143/DATOS!$S$154</f>
        <v>0</v>
      </c>
      <c r="S68" s="684">
        <f>DATOS!$T143/DATOS!$T$154</f>
        <v>0</v>
      </c>
      <c r="T68" s="684">
        <f>DATOS!$U143/DATOS!$U$154</f>
        <v>0</v>
      </c>
      <c r="U68" s="684">
        <f>DATOS!$V143/DATOS!$V$154</f>
        <v>0</v>
      </c>
      <c r="V68" s="684">
        <f>DATOS!$W143/DATOS!$W$154</f>
        <v>0</v>
      </c>
      <c r="W68" s="684">
        <f>DATOS!$X143/DATOS!$X$154</f>
        <v>0</v>
      </c>
      <c r="X68" s="684">
        <f>DATOS!$Y143/DATOS!$Y$154</f>
        <v>0</v>
      </c>
      <c r="Y68" s="684">
        <f>DATOS!$Z143/DATOS!$Z$154</f>
        <v>0</v>
      </c>
      <c r="Z68" s="1125">
        <f t="shared" si="0"/>
        <v>3.8056072774475904E-4</v>
      </c>
      <c r="AA68" s="1125">
        <f t="shared" si="1"/>
        <v>0</v>
      </c>
    </row>
    <row r="69" spans="1:27" ht="13.5" thickBot="1" x14ac:dyDescent="0.25">
      <c r="A69" s="546" t="s">
        <v>656</v>
      </c>
      <c r="B69" s="1239">
        <f>DATOS!$C144/DATOS!$C$154</f>
        <v>0</v>
      </c>
      <c r="C69" s="1239">
        <f>DATOS!$D144/DATOS!$D$154</f>
        <v>0</v>
      </c>
      <c r="D69" s="1239">
        <f>DATOS!$E144/DATOS!$E$154</f>
        <v>4.4278905190300996E-3</v>
      </c>
      <c r="E69" s="1239">
        <f>DATOS!$F144/DATOS!$F$154</f>
        <v>0</v>
      </c>
      <c r="F69" s="1239">
        <f>DATOS!$G144/DATOS!$G$154</f>
        <v>7.2969377440633637E-4</v>
      </c>
      <c r="G69" s="1239">
        <f>DATOS!$H144/DATOS!$H$154</f>
        <v>0</v>
      </c>
      <c r="H69" s="684">
        <f>DATOS!$I144/DATOS!$I$154</f>
        <v>1.1919784617438485E-3</v>
      </c>
      <c r="I69" s="684">
        <f>DATOS!$J144/DATOS!$J$154</f>
        <v>0</v>
      </c>
      <c r="J69" s="684">
        <f>DATOS!$K144/DATOS!$K$154</f>
        <v>2.5055245420736783E-3</v>
      </c>
      <c r="K69" s="684">
        <f>DATOS!$L144/DATOS!$L$154</f>
        <v>0</v>
      </c>
      <c r="L69" s="684">
        <f>DATOS!$M144/DATOS!$M$154</f>
        <v>3.0820133070339308E-4</v>
      </c>
      <c r="M69" s="684">
        <f>DATOS!$N144/DATOS!$N$154</f>
        <v>0</v>
      </c>
      <c r="N69" s="684">
        <f>DATOS!$O144/DATOS!$O$154</f>
        <v>0</v>
      </c>
      <c r="O69" s="684">
        <f>DATOS!$P144/DATOS!$P$154</f>
        <v>0</v>
      </c>
      <c r="P69" s="684">
        <f>DATOS!$Q144/DATOS!$Q$154</f>
        <v>1.6938154542529918E-3</v>
      </c>
      <c r="Q69" s="684">
        <f>DATOS!$R144/DATOS!$R$154</f>
        <v>0</v>
      </c>
      <c r="R69" s="684">
        <f>DATOS!$S144/DATOS!$S$154</f>
        <v>0</v>
      </c>
      <c r="S69" s="684">
        <f>DATOS!$T144/DATOS!$T$154</f>
        <v>0</v>
      </c>
      <c r="T69" s="684">
        <f>DATOS!$U144/DATOS!$U$154</f>
        <v>0</v>
      </c>
      <c r="U69" s="684">
        <f>DATOS!$V144/DATOS!$V$154</f>
        <v>0</v>
      </c>
      <c r="V69" s="684">
        <f>DATOS!$W144/DATOS!$W$154</f>
        <v>0</v>
      </c>
      <c r="W69" s="684">
        <f>DATOS!$X144/DATOS!$X$154</f>
        <v>0</v>
      </c>
      <c r="X69" s="684">
        <f>DATOS!$Y144/DATOS!$Y$154</f>
        <v>0</v>
      </c>
      <c r="Y69" s="684">
        <f>DATOS!$Z144/DATOS!$Z$154</f>
        <v>0</v>
      </c>
      <c r="Z69" s="1125">
        <f t="shared" si="0"/>
        <v>9.0475867351752905E-4</v>
      </c>
      <c r="AA69" s="1125">
        <f t="shared" si="1"/>
        <v>0</v>
      </c>
    </row>
    <row r="70" spans="1:27" ht="13.5" thickBot="1" x14ac:dyDescent="0.25">
      <c r="A70" s="546" t="s">
        <v>657</v>
      </c>
      <c r="B70" s="1239">
        <f>DATOS!$C145/DATOS!$C$154</f>
        <v>0</v>
      </c>
      <c r="C70" s="1239">
        <f>DATOS!$D145/DATOS!$D$154</f>
        <v>0</v>
      </c>
      <c r="D70" s="1239">
        <f>DATOS!$E145/DATOS!$E$154</f>
        <v>0</v>
      </c>
      <c r="E70" s="1239">
        <f>DATOS!$F145/DATOS!$F$154</f>
        <v>0</v>
      </c>
      <c r="F70" s="1239">
        <f>DATOS!$G145/DATOS!$G$154</f>
        <v>0</v>
      </c>
      <c r="G70" s="1239">
        <f>DATOS!$H145/DATOS!$H$154</f>
        <v>0</v>
      </c>
      <c r="H70" s="684">
        <f>DATOS!$I145/DATOS!$I$154</f>
        <v>0</v>
      </c>
      <c r="I70" s="684">
        <f>DATOS!$J145/DATOS!$J$154</f>
        <v>0</v>
      </c>
      <c r="J70" s="684">
        <f>DATOS!$K145/DATOS!$K$154</f>
        <v>0</v>
      </c>
      <c r="K70" s="684">
        <f>DATOS!$L145/DATOS!$L$154</f>
        <v>0</v>
      </c>
      <c r="L70" s="684">
        <f>DATOS!$M145/DATOS!$M$154</f>
        <v>0</v>
      </c>
      <c r="M70" s="684">
        <f>DATOS!$N145/DATOS!$N$154</f>
        <v>0</v>
      </c>
      <c r="N70" s="684">
        <f>DATOS!$O145/DATOS!$O$154</f>
        <v>0</v>
      </c>
      <c r="O70" s="684">
        <f>DATOS!$P145/DATOS!$P$154</f>
        <v>0</v>
      </c>
      <c r="P70" s="684">
        <f>DATOS!$Q145/DATOS!$Q$154</f>
        <v>0</v>
      </c>
      <c r="Q70" s="684">
        <f>DATOS!$R145/DATOS!$R$154</f>
        <v>0</v>
      </c>
      <c r="R70" s="684">
        <f>DATOS!$S145/DATOS!$S$154</f>
        <v>0</v>
      </c>
      <c r="S70" s="684">
        <f>DATOS!$T145/DATOS!$T$154</f>
        <v>0</v>
      </c>
      <c r="T70" s="684">
        <f>DATOS!$U145/DATOS!$U$154</f>
        <v>0</v>
      </c>
      <c r="U70" s="684">
        <f>DATOS!$V145/DATOS!$V$154</f>
        <v>0</v>
      </c>
      <c r="V70" s="684">
        <f>DATOS!$W145/DATOS!$W$154</f>
        <v>0</v>
      </c>
      <c r="W70" s="684">
        <f>DATOS!$X145/DATOS!$X$154</f>
        <v>0</v>
      </c>
      <c r="X70" s="684">
        <f>DATOS!$Y145/DATOS!$Y$154</f>
        <v>0</v>
      </c>
      <c r="Y70" s="684">
        <f>DATOS!$Z145/DATOS!$Z$154</f>
        <v>0</v>
      </c>
      <c r="Z70" s="1125">
        <f t="shared" si="0"/>
        <v>0</v>
      </c>
      <c r="AA70" s="1125">
        <f t="shared" si="1"/>
        <v>0</v>
      </c>
    </row>
    <row r="71" spans="1:27" ht="13.5" thickBot="1" x14ac:dyDescent="0.25">
      <c r="A71" s="546" t="s">
        <v>658</v>
      </c>
      <c r="B71" s="1239">
        <f>DATOS!$C146/DATOS!$C$154</f>
        <v>0</v>
      </c>
      <c r="C71" s="1239">
        <f>DATOS!$D146/DATOS!$D$154</f>
        <v>0</v>
      </c>
      <c r="D71" s="1239">
        <f>DATOS!$E146/DATOS!$E$154</f>
        <v>0</v>
      </c>
      <c r="E71" s="1239">
        <f>DATOS!$F146/DATOS!$F$154</f>
        <v>0</v>
      </c>
      <c r="F71" s="1239">
        <f>DATOS!$G146/DATOS!$G$154</f>
        <v>0</v>
      </c>
      <c r="G71" s="1239">
        <f>DATOS!$H146/DATOS!$H$154</f>
        <v>0</v>
      </c>
      <c r="H71" s="684">
        <f>DATOS!$I146/DATOS!$I$154</f>
        <v>0</v>
      </c>
      <c r="I71" s="684">
        <f>DATOS!$J146/DATOS!$J$154</f>
        <v>0</v>
      </c>
      <c r="J71" s="684">
        <f>DATOS!$K146/DATOS!$K$154</f>
        <v>0</v>
      </c>
      <c r="K71" s="684">
        <f>DATOS!$L146/DATOS!$L$154</f>
        <v>0</v>
      </c>
      <c r="L71" s="684">
        <f>DATOS!$M146/DATOS!$M$154</f>
        <v>6.1796865735738715E-4</v>
      </c>
      <c r="M71" s="684">
        <f>DATOS!$N146/DATOS!$N$154</f>
        <v>0</v>
      </c>
      <c r="N71" s="684">
        <f>DATOS!$O146/DATOS!$O$154</f>
        <v>0</v>
      </c>
      <c r="O71" s="684">
        <f>DATOS!$P146/DATOS!$P$154</f>
        <v>0</v>
      </c>
      <c r="P71" s="684">
        <f>DATOS!$Q146/DATOS!$Q$154</f>
        <v>0</v>
      </c>
      <c r="Q71" s="684">
        <f>DATOS!$R146/DATOS!$R$154</f>
        <v>0</v>
      </c>
      <c r="R71" s="684">
        <f>DATOS!$S146/DATOS!$S$154</f>
        <v>0</v>
      </c>
      <c r="S71" s="684">
        <f>DATOS!$T146/DATOS!$T$154</f>
        <v>0</v>
      </c>
      <c r="T71" s="684">
        <f>DATOS!$U146/DATOS!$U$154</f>
        <v>0</v>
      </c>
      <c r="U71" s="684">
        <f>DATOS!$V146/DATOS!$V$154</f>
        <v>0</v>
      </c>
      <c r="V71" s="684">
        <f>DATOS!$W146/DATOS!$W$154</f>
        <v>0</v>
      </c>
      <c r="W71" s="684">
        <f>DATOS!$X146/DATOS!$X$154</f>
        <v>0</v>
      </c>
      <c r="X71" s="684">
        <f>DATOS!$Y146/DATOS!$Y$154</f>
        <v>0</v>
      </c>
      <c r="Y71" s="684">
        <f>DATOS!$Z146/DATOS!$Z$154</f>
        <v>0</v>
      </c>
      <c r="Z71" s="1125">
        <f t="shared" si="0"/>
        <v>5.1497388113115598E-5</v>
      </c>
      <c r="AA71" s="1125">
        <f t="shared" si="1"/>
        <v>0</v>
      </c>
    </row>
    <row r="72" spans="1:27" ht="13.5" thickBot="1" x14ac:dyDescent="0.25">
      <c r="A72" s="546" t="s">
        <v>659</v>
      </c>
      <c r="B72" s="1239">
        <f>DATOS!$C147/DATOS!$C$154</f>
        <v>0</v>
      </c>
      <c r="C72" s="1239">
        <f>DATOS!$D147/DATOS!$D$154</f>
        <v>0</v>
      </c>
      <c r="D72" s="1239">
        <f>DATOS!$E147/DATOS!$E$154</f>
        <v>0</v>
      </c>
      <c r="E72" s="1239">
        <f>DATOS!$F147/DATOS!$F$154</f>
        <v>0</v>
      </c>
      <c r="F72" s="1239">
        <f>DATOS!$G147/DATOS!$G$154</f>
        <v>0</v>
      </c>
      <c r="G72" s="1239">
        <f>DATOS!$H147/DATOS!$H$154</f>
        <v>0</v>
      </c>
      <c r="H72" s="684">
        <f>DATOS!$I147/DATOS!$I$154</f>
        <v>0</v>
      </c>
      <c r="I72" s="684">
        <f>DATOS!$J147/DATOS!$J$154</f>
        <v>0</v>
      </c>
      <c r="J72" s="684">
        <f>DATOS!$K147/DATOS!$K$154</f>
        <v>0</v>
      </c>
      <c r="K72" s="684">
        <f>DATOS!$L147/DATOS!$L$154</f>
        <v>0</v>
      </c>
      <c r="L72" s="684">
        <f>DATOS!$M147/DATOS!$M$154</f>
        <v>0</v>
      </c>
      <c r="M72" s="684">
        <f>DATOS!$N147/DATOS!$N$154</f>
        <v>0</v>
      </c>
      <c r="N72" s="684">
        <f>DATOS!$O147/DATOS!$O$154</f>
        <v>0</v>
      </c>
      <c r="O72" s="684">
        <f>DATOS!$P147/DATOS!$P$154</f>
        <v>0</v>
      </c>
      <c r="P72" s="684">
        <f>DATOS!$Q147/DATOS!$Q$154</f>
        <v>0</v>
      </c>
      <c r="Q72" s="684">
        <f>DATOS!$R147/DATOS!$R$154</f>
        <v>0</v>
      </c>
      <c r="R72" s="684">
        <f>DATOS!$S147/DATOS!$S$154</f>
        <v>0</v>
      </c>
      <c r="S72" s="684">
        <f>DATOS!$T147/DATOS!$T$154</f>
        <v>0</v>
      </c>
      <c r="T72" s="684">
        <f>DATOS!$U147/DATOS!$U$154</f>
        <v>0</v>
      </c>
      <c r="U72" s="684">
        <f>DATOS!$V147/DATOS!$V$154</f>
        <v>0</v>
      </c>
      <c r="V72" s="684">
        <f>DATOS!$W147/DATOS!$W$154</f>
        <v>0</v>
      </c>
      <c r="W72" s="684">
        <f>DATOS!$X147/DATOS!$X$154</f>
        <v>0</v>
      </c>
      <c r="X72" s="684">
        <f>DATOS!$Y147/DATOS!$Y$154</f>
        <v>0</v>
      </c>
      <c r="Y72" s="684">
        <f>DATOS!$Z147/DATOS!$Z$154</f>
        <v>0</v>
      </c>
      <c r="Z72" s="1125">
        <f t="shared" si="0"/>
        <v>0</v>
      </c>
      <c r="AA72" s="1125">
        <f t="shared" si="1"/>
        <v>0</v>
      </c>
    </row>
    <row r="73" spans="1:27" ht="13.5" thickBot="1" x14ac:dyDescent="0.25">
      <c r="A73" s="546" t="s">
        <v>660</v>
      </c>
      <c r="B73" s="684">
        <f>DATOS!$C148/DATOS!$C$154</f>
        <v>1.0420186208828196E-3</v>
      </c>
      <c r="C73" s="1239">
        <f>DATOS!$D148/DATOS!$D$154</f>
        <v>0</v>
      </c>
      <c r="D73" s="684">
        <f>DATOS!$E148/DATOS!$E$154</f>
        <v>3.229862056164102E-3</v>
      </c>
      <c r="E73" s="1239">
        <f>DATOS!$F148/DATOS!$F$154</f>
        <v>0</v>
      </c>
      <c r="F73" s="684">
        <f>DATOS!$G148/DATOS!$G$154</f>
        <v>0</v>
      </c>
      <c r="G73" s="1239">
        <f>DATOS!$H148/DATOS!$H$154</f>
        <v>0</v>
      </c>
      <c r="H73" s="684">
        <f>DATOS!$I148/DATOS!$I$154</f>
        <v>1.1908565996622072E-3</v>
      </c>
      <c r="I73" s="684">
        <f>DATOS!$J148/DATOS!$J$154</f>
        <v>0</v>
      </c>
      <c r="J73" s="684">
        <f>DATOS!$K148/DATOS!$K$154</f>
        <v>1.648317515875316E-3</v>
      </c>
      <c r="K73" s="684">
        <f>DATOS!$L148/DATOS!$L$154</f>
        <v>0</v>
      </c>
      <c r="L73" s="684">
        <f>DATOS!$M148/DATOS!$M$154</f>
        <v>2.6038514370961587E-3</v>
      </c>
      <c r="M73" s="684">
        <f>DATOS!$N148/DATOS!$N$154</f>
        <v>0</v>
      </c>
      <c r="N73" s="684">
        <f>DATOS!$O148/DATOS!$O$154</f>
        <v>1.3523746482574802E-3</v>
      </c>
      <c r="O73" s="684">
        <f>DATOS!$P148/DATOS!$P$154</f>
        <v>0</v>
      </c>
      <c r="P73" s="684">
        <f>DATOS!$Q148/DATOS!$Q$154</f>
        <v>0</v>
      </c>
      <c r="Q73" s="684">
        <f>DATOS!$R148/DATOS!$R$154</f>
        <v>0</v>
      </c>
      <c r="R73" s="684">
        <f>DATOS!$S148/DATOS!$S$154</f>
        <v>2.6397642056122141E-3</v>
      </c>
      <c r="S73" s="684">
        <f>DATOS!$T148/DATOS!$T$154</f>
        <v>0</v>
      </c>
      <c r="T73" s="684">
        <f>DATOS!$U148/DATOS!$U$154</f>
        <v>5.1569378516644131E-4</v>
      </c>
      <c r="U73" s="684">
        <f>DATOS!$V148/DATOS!$V$154</f>
        <v>0</v>
      </c>
      <c r="V73" s="684">
        <f>DATOS!$W148/DATOS!$W$154</f>
        <v>1.0894939321965695E-3</v>
      </c>
      <c r="W73" s="684">
        <f>DATOS!$X148/DATOS!$X$154</f>
        <v>0</v>
      </c>
      <c r="X73" s="684">
        <f>DATOS!$Y148/DATOS!$Y$154</f>
        <v>0</v>
      </c>
      <c r="Y73" s="684">
        <f>DATOS!$Z148/DATOS!$Z$154</f>
        <v>0</v>
      </c>
      <c r="Z73" s="1125">
        <f t="shared" si="0"/>
        <v>1.2760194000761092E-3</v>
      </c>
      <c r="AA73" s="1125">
        <f t="shared" si="1"/>
        <v>0</v>
      </c>
    </row>
    <row r="74" spans="1:27" ht="13.5" thickBot="1" x14ac:dyDescent="0.25">
      <c r="A74" s="546" t="s">
        <v>180</v>
      </c>
      <c r="B74" s="1239">
        <f>DATOS!$C149/DATOS!$C$154</f>
        <v>0</v>
      </c>
      <c r="C74" s="1239">
        <f>DATOS!$D149/DATOS!$D$154</f>
        <v>0</v>
      </c>
      <c r="D74" s="1239">
        <f>DATOS!$E149/DATOS!$E$154</f>
        <v>0</v>
      </c>
      <c r="E74" s="1239">
        <f>DATOS!$F149/DATOS!$F$154</f>
        <v>0</v>
      </c>
      <c r="F74" s="1239">
        <f>DATOS!$G149/DATOS!$G$154</f>
        <v>0</v>
      </c>
      <c r="G74" s="1239">
        <f>DATOS!$H149/DATOS!$H$154</f>
        <v>0</v>
      </c>
      <c r="H74" s="684">
        <f>DATOS!$I149/DATOS!$I$154</f>
        <v>0</v>
      </c>
      <c r="I74" s="684">
        <f>DATOS!$J149/DATOS!$J$154</f>
        <v>0</v>
      </c>
      <c r="J74" s="684">
        <f>DATOS!$K149/DATOS!$K$154</f>
        <v>0</v>
      </c>
      <c r="K74" s="684">
        <f>DATOS!$L149/DATOS!$L$154</f>
        <v>0</v>
      </c>
      <c r="L74" s="684">
        <f>DATOS!$M149/DATOS!$M$154</f>
        <v>0</v>
      </c>
      <c r="M74" s="684">
        <f>DATOS!$N149/DATOS!$N$154</f>
        <v>0</v>
      </c>
      <c r="N74" s="684">
        <f>DATOS!$O149/DATOS!$O$154</f>
        <v>0</v>
      </c>
      <c r="O74" s="684">
        <f>DATOS!$P149/DATOS!$P$154</f>
        <v>0</v>
      </c>
      <c r="P74" s="684">
        <f>DATOS!$Q149/DATOS!$Q$154</f>
        <v>0</v>
      </c>
      <c r="Q74" s="684">
        <f>DATOS!$R149/DATOS!$R$154</f>
        <v>0</v>
      </c>
      <c r="R74" s="684">
        <f>DATOS!$S149/DATOS!$S$154</f>
        <v>0</v>
      </c>
      <c r="S74" s="684">
        <f>DATOS!$T149/DATOS!$T$154</f>
        <v>0</v>
      </c>
      <c r="T74" s="684">
        <f>DATOS!$U149/DATOS!$U$154</f>
        <v>0</v>
      </c>
      <c r="U74" s="684">
        <f>DATOS!$V149/DATOS!$V$154</f>
        <v>0</v>
      </c>
      <c r="V74" s="684">
        <f>DATOS!$W149/DATOS!$W$154</f>
        <v>0</v>
      </c>
      <c r="W74" s="684">
        <f>DATOS!$X149/DATOS!$X$154</f>
        <v>0</v>
      </c>
      <c r="X74" s="684">
        <f>DATOS!$Y149/DATOS!$Y$154</f>
        <v>0</v>
      </c>
      <c r="Y74" s="684">
        <f>DATOS!$Z149/DATOS!$Z$154</f>
        <v>0</v>
      </c>
      <c r="Z74" s="1125">
        <f t="shared" si="0"/>
        <v>0</v>
      </c>
      <c r="AA74" s="1125">
        <f t="shared" si="1"/>
        <v>0</v>
      </c>
    </row>
    <row r="75" spans="1:27" ht="13.5" thickBot="1" x14ac:dyDescent="0.25">
      <c r="A75" s="546" t="s">
        <v>414</v>
      </c>
      <c r="B75" s="1239">
        <f>DATOS!$C150/DATOS!$C$154</f>
        <v>0</v>
      </c>
      <c r="C75" s="1239">
        <f>DATOS!$D150/DATOS!$D$154</f>
        <v>0</v>
      </c>
      <c r="D75" s="1239">
        <f>DATOS!$E150/DATOS!$E$154</f>
        <v>0</v>
      </c>
      <c r="E75" s="1239">
        <f>DATOS!$F150/DATOS!$F$154</f>
        <v>0</v>
      </c>
      <c r="F75" s="1239">
        <f>DATOS!$G150/DATOS!$G$154</f>
        <v>2.872210242894499E-2</v>
      </c>
      <c r="G75" s="1239">
        <f>DATOS!$H150/DATOS!$H$154</f>
        <v>0</v>
      </c>
      <c r="H75" s="684">
        <f>DATOS!$I150/DATOS!$I$154</f>
        <v>0</v>
      </c>
      <c r="I75" s="684">
        <f>DATOS!$J150/DATOS!$J$154</f>
        <v>0</v>
      </c>
      <c r="J75" s="684">
        <f>DATOS!$K150/DATOS!$K$154</f>
        <v>2.5275299503444747E-3</v>
      </c>
      <c r="K75" s="684">
        <f>DATOS!$L150/DATOS!$L$154</f>
        <v>0</v>
      </c>
      <c r="L75" s="684">
        <f>DATOS!$M150/DATOS!$M$154</f>
        <v>1.9514975069511065E-3</v>
      </c>
      <c r="M75" s="684">
        <f>DATOS!$N150/DATOS!$N$154</f>
        <v>0</v>
      </c>
      <c r="N75" s="684">
        <f>DATOS!$O150/DATOS!$O$154</f>
        <v>1.2242705339217195E-3</v>
      </c>
      <c r="O75" s="684">
        <f>DATOS!$P150/DATOS!$P$154</f>
        <v>0</v>
      </c>
      <c r="P75" s="684">
        <f>DATOS!$Q150/DATOS!$Q$154</f>
        <v>0</v>
      </c>
      <c r="Q75" s="684">
        <f>DATOS!$R150/DATOS!$R$154</f>
        <v>0</v>
      </c>
      <c r="R75" s="684">
        <f>DATOS!$S150/DATOS!$S$154</f>
        <v>1.3179920067136218E-2</v>
      </c>
      <c r="S75" s="684">
        <f>DATOS!$T150/DATOS!$T$154</f>
        <v>0</v>
      </c>
      <c r="T75" s="684">
        <f>DATOS!$U150/DATOS!$U$154</f>
        <v>0</v>
      </c>
      <c r="U75" s="684">
        <f>DATOS!$V150/DATOS!$V$154</f>
        <v>0</v>
      </c>
      <c r="V75" s="684">
        <f>DATOS!$W150/DATOS!$W$154</f>
        <v>0</v>
      </c>
      <c r="W75" s="684">
        <f>DATOS!$X150/DATOS!$X$154</f>
        <v>0</v>
      </c>
      <c r="X75" s="684">
        <f>DATOS!$Y150/DATOS!$Y$154</f>
        <v>0</v>
      </c>
      <c r="Y75" s="684">
        <f>DATOS!$Z150/DATOS!$Z$154</f>
        <v>0</v>
      </c>
      <c r="Z75" s="1125">
        <f t="shared" si="0"/>
        <v>3.9671100406082089E-3</v>
      </c>
      <c r="AA75" s="1125">
        <f t="shared" si="1"/>
        <v>0</v>
      </c>
    </row>
    <row r="76" spans="1:27" ht="13.5" thickBot="1" x14ac:dyDescent="0.25">
      <c r="A76" s="546" t="s">
        <v>415</v>
      </c>
      <c r="B76" s="684">
        <f>DATOS!$C151/DATOS!$C$154</f>
        <v>0</v>
      </c>
      <c r="C76" s="1239">
        <f>DATOS!$D151/DATOS!$D$154</f>
        <v>0</v>
      </c>
      <c r="D76" s="684">
        <f>DATOS!$E151/DATOS!$E$154</f>
        <v>0</v>
      </c>
      <c r="E76" s="1239">
        <f>DATOS!$F151/DATOS!$F$154</f>
        <v>0</v>
      </c>
      <c r="F76" s="684">
        <f>DATOS!$G151/DATOS!$G$154</f>
        <v>0</v>
      </c>
      <c r="G76" s="1239">
        <f>DATOS!$H151/DATOS!$H$154</f>
        <v>0</v>
      </c>
      <c r="H76" s="684">
        <f>DATOS!$I151/DATOS!$I$154</f>
        <v>0</v>
      </c>
      <c r="I76" s="684">
        <f>DATOS!$J151/DATOS!$J$154</f>
        <v>0</v>
      </c>
      <c r="J76" s="684">
        <f>DATOS!$K151/DATOS!$K$154</f>
        <v>0</v>
      </c>
      <c r="K76" s="684">
        <f>DATOS!$L151/DATOS!$L$154</f>
        <v>0</v>
      </c>
      <c r="L76" s="684">
        <f>DATOS!$M151/DATOS!$M$154</f>
        <v>0</v>
      </c>
      <c r="M76" s="684">
        <f>DATOS!$N151/DATOS!$N$154</f>
        <v>0</v>
      </c>
      <c r="N76" s="684">
        <f>DATOS!$O151/DATOS!$O$154</f>
        <v>9.2560776254162262E-5</v>
      </c>
      <c r="O76" s="684">
        <f>DATOS!$P151/DATOS!$P$154</f>
        <v>0</v>
      </c>
      <c r="P76" s="684">
        <f>DATOS!$Q151/DATOS!$Q$154</f>
        <v>0</v>
      </c>
      <c r="Q76" s="684">
        <f>DATOS!$R151/DATOS!$R$154</f>
        <v>0</v>
      </c>
      <c r="R76" s="684">
        <f>DATOS!$S151/DATOS!$S$154</f>
        <v>2.625133461785198E-4</v>
      </c>
      <c r="S76" s="684">
        <f>DATOS!$T151/DATOS!$T$154</f>
        <v>0</v>
      </c>
      <c r="T76" s="684">
        <f>DATOS!$U151/DATOS!$U$154</f>
        <v>0</v>
      </c>
      <c r="U76" s="684">
        <f>DATOS!$V151/DATOS!$V$154</f>
        <v>0</v>
      </c>
      <c r="V76" s="684">
        <f>DATOS!$W151/DATOS!$W$154</f>
        <v>0</v>
      </c>
      <c r="W76" s="684">
        <f>DATOS!$X151/DATOS!$X$154</f>
        <v>0</v>
      </c>
      <c r="X76" s="684">
        <f>DATOS!$Y151/DATOS!$Y$154</f>
        <v>0</v>
      </c>
      <c r="Y76" s="684">
        <f>DATOS!$Z151/DATOS!$Z$154</f>
        <v>0</v>
      </c>
      <c r="Z76" s="1125">
        <f t="shared" si="0"/>
        <v>2.9589510202723508E-5</v>
      </c>
      <c r="AA76" s="1125">
        <f t="shared" si="1"/>
        <v>0</v>
      </c>
    </row>
    <row r="77" spans="1:27" ht="13.5" thickBot="1" x14ac:dyDescent="0.25">
      <c r="A77" s="546" t="s">
        <v>416</v>
      </c>
      <c r="B77" s="1239">
        <f>DATOS!$C152/DATOS!$C$154</f>
        <v>0</v>
      </c>
      <c r="C77" s="1239">
        <f>DATOS!$D152/DATOS!$D$154</f>
        <v>0</v>
      </c>
      <c r="D77" s="1239">
        <f>DATOS!$E152/DATOS!$E$154</f>
        <v>0</v>
      </c>
      <c r="E77" s="1239">
        <f>DATOS!$F152/DATOS!$F$154</f>
        <v>0</v>
      </c>
      <c r="F77" s="1239">
        <f>DATOS!$G152/DATOS!$G$154</f>
        <v>0</v>
      </c>
      <c r="G77" s="1239">
        <f>DATOS!$H152/DATOS!$H$154</f>
        <v>0</v>
      </c>
      <c r="H77" s="684">
        <f>DATOS!$I152/DATOS!$I$154</f>
        <v>0</v>
      </c>
      <c r="I77" s="684">
        <f>DATOS!$J152/DATOS!$J$154</f>
        <v>0</v>
      </c>
      <c r="J77" s="684">
        <f>DATOS!$K152/DATOS!$K$154</f>
        <v>0</v>
      </c>
      <c r="K77" s="684">
        <f>DATOS!$L152/DATOS!$L$154</f>
        <v>0</v>
      </c>
      <c r="L77" s="684">
        <f>DATOS!$M152/DATOS!$M$154</f>
        <v>0</v>
      </c>
      <c r="M77" s="684">
        <f>DATOS!$N152/DATOS!$N$154</f>
        <v>0</v>
      </c>
      <c r="N77" s="684">
        <f>DATOS!$O152/DATOS!$O$154</f>
        <v>0</v>
      </c>
      <c r="O77" s="684">
        <f>DATOS!$P152/DATOS!$P$154</f>
        <v>0</v>
      </c>
      <c r="P77" s="684">
        <f>DATOS!$Q152/DATOS!$Q$154</f>
        <v>0</v>
      </c>
      <c r="Q77" s="684">
        <f>DATOS!$R152/DATOS!$R$154</f>
        <v>0</v>
      </c>
      <c r="R77" s="684">
        <f>DATOS!$S152/DATOS!$S$154</f>
        <v>0</v>
      </c>
      <c r="S77" s="684">
        <f>DATOS!$T152/DATOS!$T$154</f>
        <v>0</v>
      </c>
      <c r="T77" s="684">
        <f>DATOS!$U152/DATOS!$U$154</f>
        <v>0</v>
      </c>
      <c r="U77" s="684">
        <f>DATOS!$V152/DATOS!$V$154</f>
        <v>0</v>
      </c>
      <c r="V77" s="684">
        <f>DATOS!$W152/DATOS!$W$154</f>
        <v>0</v>
      </c>
      <c r="W77" s="684">
        <f>DATOS!$X152/DATOS!$X$154</f>
        <v>0</v>
      </c>
      <c r="X77" s="684">
        <f>DATOS!$Y152/DATOS!$Y$154</f>
        <v>0</v>
      </c>
      <c r="Y77" s="684">
        <f>DATOS!$Z152/DATOS!$Z$154</f>
        <v>0</v>
      </c>
      <c r="Z77" s="1125">
        <f t="shared" si="0"/>
        <v>0</v>
      </c>
      <c r="AA77" s="1125">
        <f t="shared" si="1"/>
        <v>0</v>
      </c>
    </row>
    <row r="78" spans="1:27" ht="13.5" thickBot="1" x14ac:dyDescent="0.25">
      <c r="A78" s="546" t="s">
        <v>640</v>
      </c>
      <c r="B78" s="1239">
        <f>DATOS!$C153/DATOS!$C$154</f>
        <v>0</v>
      </c>
      <c r="C78" s="1239">
        <f>DATOS!$D153/DATOS!$D$154</f>
        <v>0</v>
      </c>
      <c r="D78" s="1239">
        <f>DATOS!$E153/DATOS!$E$154</f>
        <v>0</v>
      </c>
      <c r="E78" s="1239">
        <f>DATOS!$F153/DATOS!$F$154</f>
        <v>0</v>
      </c>
      <c r="F78" s="1239">
        <f>DATOS!$G153/DATOS!$G$154</f>
        <v>0</v>
      </c>
      <c r="G78" s="1239">
        <f>DATOS!$H153/DATOS!$H$154</f>
        <v>0</v>
      </c>
      <c r="H78" s="684">
        <f>DATOS!$I153/DATOS!$I$154</f>
        <v>4.8258767211935261E-4</v>
      </c>
      <c r="I78" s="684">
        <f>DATOS!$J153/DATOS!$J$154</f>
        <v>0</v>
      </c>
      <c r="J78" s="684">
        <f>DATOS!$K153/DATOS!$K$154</f>
        <v>2.8896152904499056E-4</v>
      </c>
      <c r="K78" s="684">
        <f>DATOS!$L153/DATOS!$L$154</f>
        <v>0</v>
      </c>
      <c r="L78" s="684">
        <f>DATOS!$M153/DATOS!$M$154</f>
        <v>0</v>
      </c>
      <c r="M78" s="684">
        <f>DATOS!$N153/DATOS!$N$154</f>
        <v>0</v>
      </c>
      <c r="N78" s="684">
        <f>DATOS!$O153/DATOS!$O$154</f>
        <v>2.5917017351165436E-5</v>
      </c>
      <c r="O78" s="684">
        <f>DATOS!$P153/DATOS!$P$154</f>
        <v>0</v>
      </c>
      <c r="P78" s="684">
        <f>DATOS!$Q153/DATOS!$Q$154</f>
        <v>0</v>
      </c>
      <c r="Q78" s="684">
        <f>DATOS!$R153/DATOS!$R$154</f>
        <v>0</v>
      </c>
      <c r="R78" s="684">
        <f>DATOS!$S153/DATOS!$S$154</f>
        <v>8.5701857082414097E-4</v>
      </c>
      <c r="S78" s="684">
        <f>DATOS!$T153/DATOS!$T$154</f>
        <v>0</v>
      </c>
      <c r="T78" s="684">
        <f>DATOS!$U153/DATOS!$U$154</f>
        <v>0</v>
      </c>
      <c r="U78" s="684">
        <f>DATOS!$V153/DATOS!$V$154</f>
        <v>0</v>
      </c>
      <c r="V78" s="684">
        <f>DATOS!$W153/DATOS!$W$154</f>
        <v>0</v>
      </c>
      <c r="W78" s="684">
        <f>DATOS!$X153/DATOS!$X$154</f>
        <v>0</v>
      </c>
      <c r="X78" s="684">
        <f>DATOS!$Y153/DATOS!$Y$154</f>
        <v>0</v>
      </c>
      <c r="Y78" s="684">
        <f>DATOS!$Z153/DATOS!$Z$154</f>
        <v>0</v>
      </c>
      <c r="Z78" s="1125">
        <f t="shared" si="0"/>
        <v>1.378737324449708E-4</v>
      </c>
      <c r="AA78" s="1125">
        <f t="shared" si="1"/>
        <v>0</v>
      </c>
    </row>
    <row r="79" spans="1:27" ht="13.5" thickBot="1" x14ac:dyDescent="0.25"/>
    <row r="80" spans="1:27" ht="15.75" thickBot="1" x14ac:dyDescent="0.3">
      <c r="A80" s="171" t="s">
        <v>188</v>
      </c>
      <c r="B80" s="172">
        <f>SUM(B10:B79)</f>
        <v>0.9974838571614224</v>
      </c>
      <c r="C80" s="172">
        <f>SUM(C10:C79)</f>
        <v>1</v>
      </c>
      <c r="D80" s="172">
        <f t="shared" ref="D80:Y80" si="4">SUM(D10:D79)</f>
        <v>0.99525845077603259</v>
      </c>
      <c r="E80" s="172">
        <f t="shared" si="4"/>
        <v>1</v>
      </c>
      <c r="F80" s="172">
        <f t="shared" si="4"/>
        <v>0.99016133326031874</v>
      </c>
      <c r="G80" s="172">
        <f t="shared" si="4"/>
        <v>1</v>
      </c>
      <c r="H80" s="172">
        <f t="shared" si="4"/>
        <v>0.99424204286597617</v>
      </c>
      <c r="I80" s="172">
        <f t="shared" si="4"/>
        <v>1</v>
      </c>
      <c r="J80" s="172">
        <f t="shared" si="4"/>
        <v>0.98817197258688316</v>
      </c>
      <c r="K80" s="172">
        <f t="shared" si="4"/>
        <v>1</v>
      </c>
      <c r="L80" s="172">
        <f t="shared" si="4"/>
        <v>0.98844484907114283</v>
      </c>
      <c r="M80" s="172">
        <f t="shared" si="4"/>
        <v>1</v>
      </c>
      <c r="N80" s="172">
        <f>SUM(N10:N79)</f>
        <v>0.99406469449066237</v>
      </c>
      <c r="O80" s="172">
        <f>SUM(O10:O79)</f>
        <v>1</v>
      </c>
      <c r="P80" s="742">
        <f t="shared" si="4"/>
        <v>0.99218808338737918</v>
      </c>
      <c r="Q80" s="742">
        <f t="shared" si="4"/>
        <v>1</v>
      </c>
      <c r="R80" s="742">
        <f t="shared" si="4"/>
        <v>0.9783135624615158</v>
      </c>
      <c r="S80" s="742">
        <f t="shared" si="4"/>
        <v>1</v>
      </c>
      <c r="T80" s="172">
        <f t="shared" si="4"/>
        <v>0.98619497894603581</v>
      </c>
      <c r="U80" s="172">
        <f t="shared" si="4"/>
        <v>1</v>
      </c>
      <c r="V80" s="172">
        <f t="shared" si="4"/>
        <v>0.98877372346536829</v>
      </c>
      <c r="W80" s="172">
        <f t="shared" si="4"/>
        <v>1</v>
      </c>
      <c r="X80" s="172">
        <f t="shared" si="4"/>
        <v>0.98500745219278574</v>
      </c>
      <c r="Y80" s="172">
        <f t="shared" si="4"/>
        <v>1</v>
      </c>
      <c r="Z80" s="172">
        <f>SUM(Z10:Z78)</f>
        <v>0.9898587500554602</v>
      </c>
      <c r="AA80" s="172">
        <f>SUM(AA10:AA78)</f>
        <v>1</v>
      </c>
    </row>
  </sheetData>
  <mergeCells count="14">
    <mergeCell ref="J8:K8"/>
    <mergeCell ref="A8:A9"/>
    <mergeCell ref="B8:C8"/>
    <mergeCell ref="D8:E8"/>
    <mergeCell ref="F8:G8"/>
    <mergeCell ref="H8:I8"/>
    <mergeCell ref="X8:Y8"/>
    <mergeCell ref="Z8:AA8"/>
    <mergeCell ref="L8:M8"/>
    <mergeCell ref="N8:O8"/>
    <mergeCell ref="P8:Q8"/>
    <mergeCell ref="R8:S8"/>
    <mergeCell ref="T8:U8"/>
    <mergeCell ref="V8:W8"/>
  </mergeCells>
  <pageMargins left="0.75" right="0.75" top="1" bottom="1" header="0" footer="0"/>
  <pageSetup paperSize="9" scale="46" orientation="landscape" r:id="rId1"/>
  <headerFooter alignWithMargins="0"/>
  <ignoredErrors>
    <ignoredError sqref="P79:P80 B79:B80 D79:D80 F79:F80 H79:H80 J79:J80 L79:L80 N79:N80 Z79 P10 T79 V79 X79 P68:P78 Q68:Q78 R68:S78 R10 T68:U78 V68:V78 V10 W68:W78 X68:Y78 Z68:AA78 X80 V80 T80 Z80 S80 AA80 U80 W80 Y80 Q80:R80 Z10:AA63 X10:Y63 W10:W63 V11:V63 T10:U63 R11:S63 Q11:Q63 P11:P63 Z64:AA67 R64:Y67 B64:M67 P64:Q67 N64:O67 N58:O63 N68:O78 N10:O33 N55:O57 N34:O54" evalError="1"/>
    <ignoredError sqref="Q10 S10" evalError="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2" tint="-0.499984740745262"/>
    <pageSetUpPr fitToPage="1"/>
  </sheetPr>
  <dimension ref="A2:B11"/>
  <sheetViews>
    <sheetView workbookViewId="0">
      <selection activeCell="F21" sqref="F21:I21"/>
    </sheetView>
  </sheetViews>
  <sheetFormatPr baseColWidth="10" defaultColWidth="10.85546875" defaultRowHeight="12.75" x14ac:dyDescent="0.2"/>
  <cols>
    <col min="1" max="16384" width="10.85546875" style="90"/>
  </cols>
  <sheetData>
    <row r="2" spans="1:2" x14ac:dyDescent="0.2">
      <c r="A2" s="126" t="s">
        <v>207</v>
      </c>
    </row>
    <row r="3" spans="1:2" ht="15" customHeight="1" x14ac:dyDescent="0.2"/>
    <row r="4" spans="1:2" x14ac:dyDescent="0.2">
      <c r="A4" s="126" t="s">
        <v>208</v>
      </c>
    </row>
    <row r="5" spans="1:2" x14ac:dyDescent="0.2">
      <c r="B5" s="90" t="s">
        <v>209</v>
      </c>
    </row>
    <row r="6" spans="1:2" x14ac:dyDescent="0.2">
      <c r="B6" s="90" t="s">
        <v>210</v>
      </c>
    </row>
    <row r="7" spans="1:2" x14ac:dyDescent="0.2">
      <c r="A7" s="126" t="s">
        <v>211</v>
      </c>
    </row>
    <row r="8" spans="1:2" x14ac:dyDescent="0.2">
      <c r="B8" s="90" t="s">
        <v>212</v>
      </c>
    </row>
    <row r="10" spans="1:2" x14ac:dyDescent="0.2">
      <c r="A10" s="126" t="s">
        <v>211</v>
      </c>
    </row>
    <row r="11" spans="1:2" x14ac:dyDescent="0.2">
      <c r="B11" s="90" t="s">
        <v>213</v>
      </c>
    </row>
  </sheetData>
  <pageMargins left="0.75" right="0.75" top="1" bottom="1" header="0" footer="0"/>
  <pageSetup paperSize="9" orientation="landscape" horizont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8" tint="-0.249977111117893"/>
    <pageSetUpPr fitToPage="1"/>
  </sheetPr>
  <dimension ref="A1:Q51"/>
  <sheetViews>
    <sheetView showGridLines="0" zoomScale="80" zoomScaleNormal="80" workbookViewId="0">
      <selection activeCell="H20" sqref="H20"/>
    </sheetView>
  </sheetViews>
  <sheetFormatPr baseColWidth="10" defaultRowHeight="12.75" x14ac:dyDescent="0.2"/>
  <cols>
    <col min="1" max="1" width="29.42578125" style="90" customWidth="1"/>
    <col min="2" max="2" width="15.85546875" style="90" customWidth="1"/>
    <col min="3" max="3" width="15.7109375" style="90" customWidth="1"/>
    <col min="4" max="4" width="15.28515625" style="90" customWidth="1"/>
    <col min="5" max="5" width="16.42578125" style="90" customWidth="1"/>
    <col min="6" max="6" width="15.42578125" style="90" customWidth="1"/>
    <col min="7" max="8" width="14.5703125" style="90" customWidth="1"/>
    <col min="9" max="9" width="13.140625" style="90" customWidth="1"/>
    <col min="10" max="10" width="16.7109375" style="90" customWidth="1"/>
    <col min="11" max="13" width="14.5703125" style="90" bestFit="1" customWidth="1"/>
    <col min="14" max="14" width="17.85546875" style="90" customWidth="1"/>
    <col min="15" max="15" width="11.42578125" style="90" customWidth="1"/>
    <col min="16" max="256" width="10.85546875" style="90"/>
    <col min="257" max="257" width="29.42578125" style="90" customWidth="1"/>
    <col min="258" max="260" width="14.5703125" style="90" customWidth="1"/>
    <col min="261" max="261" width="15.5703125" style="90" customWidth="1"/>
    <col min="262" max="262" width="14.28515625" style="90" customWidth="1"/>
    <col min="263" max="264" width="14.5703125" style="90" customWidth="1"/>
    <col min="265" max="265" width="13.140625" style="90" customWidth="1"/>
    <col min="266" max="266" width="16.7109375" style="90" customWidth="1"/>
    <col min="267" max="269" width="14.5703125" style="90" bestFit="1" customWidth="1"/>
    <col min="270" max="270" width="16.28515625" style="90" bestFit="1" customWidth="1"/>
    <col min="271" max="271" width="7.85546875" style="90" bestFit="1" customWidth="1"/>
    <col min="272" max="512" width="10.85546875" style="90"/>
    <col min="513" max="513" width="29.42578125" style="90" customWidth="1"/>
    <col min="514" max="516" width="14.5703125" style="90" customWidth="1"/>
    <col min="517" max="517" width="15.5703125" style="90" customWidth="1"/>
    <col min="518" max="518" width="14.28515625" style="90" customWidth="1"/>
    <col min="519" max="520" width="14.5703125" style="90" customWidth="1"/>
    <col min="521" max="521" width="13.140625" style="90" customWidth="1"/>
    <col min="522" max="522" width="16.7109375" style="90" customWidth="1"/>
    <col min="523" max="525" width="14.5703125" style="90" bestFit="1" customWidth="1"/>
    <col min="526" max="526" width="16.28515625" style="90" bestFit="1" customWidth="1"/>
    <col min="527" max="527" width="7.85546875" style="90" bestFit="1" customWidth="1"/>
    <col min="528" max="768" width="10.85546875" style="90"/>
    <col min="769" max="769" width="29.42578125" style="90" customWidth="1"/>
    <col min="770" max="772" width="14.5703125" style="90" customWidth="1"/>
    <col min="773" max="773" width="15.5703125" style="90" customWidth="1"/>
    <col min="774" max="774" width="14.28515625" style="90" customWidth="1"/>
    <col min="775" max="776" width="14.5703125" style="90" customWidth="1"/>
    <col min="777" max="777" width="13.140625" style="90" customWidth="1"/>
    <col min="778" max="778" width="16.7109375" style="90" customWidth="1"/>
    <col min="779" max="781" width="14.5703125" style="90" bestFit="1" customWidth="1"/>
    <col min="782" max="782" width="16.28515625" style="90" bestFit="1" customWidth="1"/>
    <col min="783" max="783" width="7.85546875" style="90" bestFit="1" customWidth="1"/>
    <col min="784" max="1024" width="10.85546875" style="90"/>
    <col min="1025" max="1025" width="29.42578125" style="90" customWidth="1"/>
    <col min="1026" max="1028" width="14.5703125" style="90" customWidth="1"/>
    <col min="1029" max="1029" width="15.5703125" style="90" customWidth="1"/>
    <col min="1030" max="1030" width="14.28515625" style="90" customWidth="1"/>
    <col min="1031" max="1032" width="14.5703125" style="90" customWidth="1"/>
    <col min="1033" max="1033" width="13.140625" style="90" customWidth="1"/>
    <col min="1034" max="1034" width="16.7109375" style="90" customWidth="1"/>
    <col min="1035" max="1037" width="14.5703125" style="90" bestFit="1" customWidth="1"/>
    <col min="1038" max="1038" width="16.28515625" style="90" bestFit="1" customWidth="1"/>
    <col min="1039" max="1039" width="7.85546875" style="90" bestFit="1" customWidth="1"/>
    <col min="1040" max="1280" width="10.85546875" style="90"/>
    <col min="1281" max="1281" width="29.42578125" style="90" customWidth="1"/>
    <col min="1282" max="1284" width="14.5703125" style="90" customWidth="1"/>
    <col min="1285" max="1285" width="15.5703125" style="90" customWidth="1"/>
    <col min="1286" max="1286" width="14.28515625" style="90" customWidth="1"/>
    <col min="1287" max="1288" width="14.5703125" style="90" customWidth="1"/>
    <col min="1289" max="1289" width="13.140625" style="90" customWidth="1"/>
    <col min="1290" max="1290" width="16.7109375" style="90" customWidth="1"/>
    <col min="1291" max="1293" width="14.5703125" style="90" bestFit="1" customWidth="1"/>
    <col min="1294" max="1294" width="16.28515625" style="90" bestFit="1" customWidth="1"/>
    <col min="1295" max="1295" width="7.85546875" style="90" bestFit="1" customWidth="1"/>
    <col min="1296" max="1536" width="10.85546875" style="90"/>
    <col min="1537" max="1537" width="29.42578125" style="90" customWidth="1"/>
    <col min="1538" max="1540" width="14.5703125" style="90" customWidth="1"/>
    <col min="1541" max="1541" width="15.5703125" style="90" customWidth="1"/>
    <col min="1542" max="1542" width="14.28515625" style="90" customWidth="1"/>
    <col min="1543" max="1544" width="14.5703125" style="90" customWidth="1"/>
    <col min="1545" max="1545" width="13.140625" style="90" customWidth="1"/>
    <col min="1546" max="1546" width="16.7109375" style="90" customWidth="1"/>
    <col min="1547" max="1549" width="14.5703125" style="90" bestFit="1" customWidth="1"/>
    <col min="1550" max="1550" width="16.28515625" style="90" bestFit="1" customWidth="1"/>
    <col min="1551" max="1551" width="7.85546875" style="90" bestFit="1" customWidth="1"/>
    <col min="1552" max="1792" width="10.85546875" style="90"/>
    <col min="1793" max="1793" width="29.42578125" style="90" customWidth="1"/>
    <col min="1794" max="1796" width="14.5703125" style="90" customWidth="1"/>
    <col min="1797" max="1797" width="15.5703125" style="90" customWidth="1"/>
    <col min="1798" max="1798" width="14.28515625" style="90" customWidth="1"/>
    <col min="1799" max="1800" width="14.5703125" style="90" customWidth="1"/>
    <col min="1801" max="1801" width="13.140625" style="90" customWidth="1"/>
    <col min="1802" max="1802" width="16.7109375" style="90" customWidth="1"/>
    <col min="1803" max="1805" width="14.5703125" style="90" bestFit="1" customWidth="1"/>
    <col min="1806" max="1806" width="16.28515625" style="90" bestFit="1" customWidth="1"/>
    <col min="1807" max="1807" width="7.85546875" style="90" bestFit="1" customWidth="1"/>
    <col min="1808" max="2048" width="10.85546875" style="90"/>
    <col min="2049" max="2049" width="29.42578125" style="90" customWidth="1"/>
    <col min="2050" max="2052" width="14.5703125" style="90" customWidth="1"/>
    <col min="2053" max="2053" width="15.5703125" style="90" customWidth="1"/>
    <col min="2054" max="2054" width="14.28515625" style="90" customWidth="1"/>
    <col min="2055" max="2056" width="14.5703125" style="90" customWidth="1"/>
    <col min="2057" max="2057" width="13.140625" style="90" customWidth="1"/>
    <col min="2058" max="2058" width="16.7109375" style="90" customWidth="1"/>
    <col min="2059" max="2061" width="14.5703125" style="90" bestFit="1" customWidth="1"/>
    <col min="2062" max="2062" width="16.28515625" style="90" bestFit="1" customWidth="1"/>
    <col min="2063" max="2063" width="7.85546875" style="90" bestFit="1" customWidth="1"/>
    <col min="2064" max="2304" width="10.85546875" style="90"/>
    <col min="2305" max="2305" width="29.42578125" style="90" customWidth="1"/>
    <col min="2306" max="2308" width="14.5703125" style="90" customWidth="1"/>
    <col min="2309" max="2309" width="15.5703125" style="90" customWidth="1"/>
    <col min="2310" max="2310" width="14.28515625" style="90" customWidth="1"/>
    <col min="2311" max="2312" width="14.5703125" style="90" customWidth="1"/>
    <col min="2313" max="2313" width="13.140625" style="90" customWidth="1"/>
    <col min="2314" max="2314" width="16.7109375" style="90" customWidth="1"/>
    <col min="2315" max="2317" width="14.5703125" style="90" bestFit="1" customWidth="1"/>
    <col min="2318" max="2318" width="16.28515625" style="90" bestFit="1" customWidth="1"/>
    <col min="2319" max="2319" width="7.85546875" style="90" bestFit="1" customWidth="1"/>
    <col min="2320" max="2560" width="10.85546875" style="90"/>
    <col min="2561" max="2561" width="29.42578125" style="90" customWidth="1"/>
    <col min="2562" max="2564" width="14.5703125" style="90" customWidth="1"/>
    <col min="2565" max="2565" width="15.5703125" style="90" customWidth="1"/>
    <col min="2566" max="2566" width="14.28515625" style="90" customWidth="1"/>
    <col min="2567" max="2568" width="14.5703125" style="90" customWidth="1"/>
    <col min="2569" max="2569" width="13.140625" style="90" customWidth="1"/>
    <col min="2570" max="2570" width="16.7109375" style="90" customWidth="1"/>
    <col min="2571" max="2573" width="14.5703125" style="90" bestFit="1" customWidth="1"/>
    <col min="2574" max="2574" width="16.28515625" style="90" bestFit="1" customWidth="1"/>
    <col min="2575" max="2575" width="7.85546875" style="90" bestFit="1" customWidth="1"/>
    <col min="2576" max="2816" width="10.85546875" style="90"/>
    <col min="2817" max="2817" width="29.42578125" style="90" customWidth="1"/>
    <col min="2818" max="2820" width="14.5703125" style="90" customWidth="1"/>
    <col min="2821" max="2821" width="15.5703125" style="90" customWidth="1"/>
    <col min="2822" max="2822" width="14.28515625" style="90" customWidth="1"/>
    <col min="2823" max="2824" width="14.5703125" style="90" customWidth="1"/>
    <col min="2825" max="2825" width="13.140625" style="90" customWidth="1"/>
    <col min="2826" max="2826" width="16.7109375" style="90" customWidth="1"/>
    <col min="2827" max="2829" width="14.5703125" style="90" bestFit="1" customWidth="1"/>
    <col min="2830" max="2830" width="16.28515625" style="90" bestFit="1" customWidth="1"/>
    <col min="2831" max="2831" width="7.85546875" style="90" bestFit="1" customWidth="1"/>
    <col min="2832" max="3072" width="10.85546875" style="90"/>
    <col min="3073" max="3073" width="29.42578125" style="90" customWidth="1"/>
    <col min="3074" max="3076" width="14.5703125" style="90" customWidth="1"/>
    <col min="3077" max="3077" width="15.5703125" style="90" customWidth="1"/>
    <col min="3078" max="3078" width="14.28515625" style="90" customWidth="1"/>
    <col min="3079" max="3080" width="14.5703125" style="90" customWidth="1"/>
    <col min="3081" max="3081" width="13.140625" style="90" customWidth="1"/>
    <col min="3082" max="3082" width="16.7109375" style="90" customWidth="1"/>
    <col min="3083" max="3085" width="14.5703125" style="90" bestFit="1" customWidth="1"/>
    <col min="3086" max="3086" width="16.28515625" style="90" bestFit="1" customWidth="1"/>
    <col min="3087" max="3087" width="7.85546875" style="90" bestFit="1" customWidth="1"/>
    <col min="3088" max="3328" width="10.85546875" style="90"/>
    <col min="3329" max="3329" width="29.42578125" style="90" customWidth="1"/>
    <col min="3330" max="3332" width="14.5703125" style="90" customWidth="1"/>
    <col min="3333" max="3333" width="15.5703125" style="90" customWidth="1"/>
    <col min="3334" max="3334" width="14.28515625" style="90" customWidth="1"/>
    <col min="3335" max="3336" width="14.5703125" style="90" customWidth="1"/>
    <col min="3337" max="3337" width="13.140625" style="90" customWidth="1"/>
    <col min="3338" max="3338" width="16.7109375" style="90" customWidth="1"/>
    <col min="3339" max="3341" width="14.5703125" style="90" bestFit="1" customWidth="1"/>
    <col min="3342" max="3342" width="16.28515625" style="90" bestFit="1" customWidth="1"/>
    <col min="3343" max="3343" width="7.85546875" style="90" bestFit="1" customWidth="1"/>
    <col min="3344" max="3584" width="10.85546875" style="90"/>
    <col min="3585" max="3585" width="29.42578125" style="90" customWidth="1"/>
    <col min="3586" max="3588" width="14.5703125" style="90" customWidth="1"/>
    <col min="3589" max="3589" width="15.5703125" style="90" customWidth="1"/>
    <col min="3590" max="3590" width="14.28515625" style="90" customWidth="1"/>
    <col min="3591" max="3592" width="14.5703125" style="90" customWidth="1"/>
    <col min="3593" max="3593" width="13.140625" style="90" customWidth="1"/>
    <col min="3594" max="3594" width="16.7109375" style="90" customWidth="1"/>
    <col min="3595" max="3597" width="14.5703125" style="90" bestFit="1" customWidth="1"/>
    <col min="3598" max="3598" width="16.28515625" style="90" bestFit="1" customWidth="1"/>
    <col min="3599" max="3599" width="7.85546875" style="90" bestFit="1" customWidth="1"/>
    <col min="3600" max="3840" width="10.85546875" style="90"/>
    <col min="3841" max="3841" width="29.42578125" style="90" customWidth="1"/>
    <col min="3842" max="3844" width="14.5703125" style="90" customWidth="1"/>
    <col min="3845" max="3845" width="15.5703125" style="90" customWidth="1"/>
    <col min="3846" max="3846" width="14.28515625" style="90" customWidth="1"/>
    <col min="3847" max="3848" width="14.5703125" style="90" customWidth="1"/>
    <col min="3849" max="3849" width="13.140625" style="90" customWidth="1"/>
    <col min="3850" max="3850" width="16.7109375" style="90" customWidth="1"/>
    <col min="3851" max="3853" width="14.5703125" style="90" bestFit="1" customWidth="1"/>
    <col min="3854" max="3854" width="16.28515625" style="90" bestFit="1" customWidth="1"/>
    <col min="3855" max="3855" width="7.85546875" style="90" bestFit="1" customWidth="1"/>
    <col min="3856" max="4096" width="10.85546875" style="90"/>
    <col min="4097" max="4097" width="29.42578125" style="90" customWidth="1"/>
    <col min="4098" max="4100" width="14.5703125" style="90" customWidth="1"/>
    <col min="4101" max="4101" width="15.5703125" style="90" customWidth="1"/>
    <col min="4102" max="4102" width="14.28515625" style="90" customWidth="1"/>
    <col min="4103" max="4104" width="14.5703125" style="90" customWidth="1"/>
    <col min="4105" max="4105" width="13.140625" style="90" customWidth="1"/>
    <col min="4106" max="4106" width="16.7109375" style="90" customWidth="1"/>
    <col min="4107" max="4109" width="14.5703125" style="90" bestFit="1" customWidth="1"/>
    <col min="4110" max="4110" width="16.28515625" style="90" bestFit="1" customWidth="1"/>
    <col min="4111" max="4111" width="7.85546875" style="90" bestFit="1" customWidth="1"/>
    <col min="4112" max="4352" width="10.85546875" style="90"/>
    <col min="4353" max="4353" width="29.42578125" style="90" customWidth="1"/>
    <col min="4354" max="4356" width="14.5703125" style="90" customWidth="1"/>
    <col min="4357" max="4357" width="15.5703125" style="90" customWidth="1"/>
    <col min="4358" max="4358" width="14.28515625" style="90" customWidth="1"/>
    <col min="4359" max="4360" width="14.5703125" style="90" customWidth="1"/>
    <col min="4361" max="4361" width="13.140625" style="90" customWidth="1"/>
    <col min="4362" max="4362" width="16.7109375" style="90" customWidth="1"/>
    <col min="4363" max="4365" width="14.5703125" style="90" bestFit="1" customWidth="1"/>
    <col min="4366" max="4366" width="16.28515625" style="90" bestFit="1" customWidth="1"/>
    <col min="4367" max="4367" width="7.85546875" style="90" bestFit="1" customWidth="1"/>
    <col min="4368" max="4608" width="10.85546875" style="90"/>
    <col min="4609" max="4609" width="29.42578125" style="90" customWidth="1"/>
    <col min="4610" max="4612" width="14.5703125" style="90" customWidth="1"/>
    <col min="4613" max="4613" width="15.5703125" style="90" customWidth="1"/>
    <col min="4614" max="4614" width="14.28515625" style="90" customWidth="1"/>
    <col min="4615" max="4616" width="14.5703125" style="90" customWidth="1"/>
    <col min="4617" max="4617" width="13.140625" style="90" customWidth="1"/>
    <col min="4618" max="4618" width="16.7109375" style="90" customWidth="1"/>
    <col min="4619" max="4621" width="14.5703125" style="90" bestFit="1" customWidth="1"/>
    <col min="4622" max="4622" width="16.28515625" style="90" bestFit="1" customWidth="1"/>
    <col min="4623" max="4623" width="7.85546875" style="90" bestFit="1" customWidth="1"/>
    <col min="4624" max="4864" width="10.85546875" style="90"/>
    <col min="4865" max="4865" width="29.42578125" style="90" customWidth="1"/>
    <col min="4866" max="4868" width="14.5703125" style="90" customWidth="1"/>
    <col min="4869" max="4869" width="15.5703125" style="90" customWidth="1"/>
    <col min="4870" max="4870" width="14.28515625" style="90" customWidth="1"/>
    <col min="4871" max="4872" width="14.5703125" style="90" customWidth="1"/>
    <col min="4873" max="4873" width="13.140625" style="90" customWidth="1"/>
    <col min="4874" max="4874" width="16.7109375" style="90" customWidth="1"/>
    <col min="4875" max="4877" width="14.5703125" style="90" bestFit="1" customWidth="1"/>
    <col min="4878" max="4878" width="16.28515625" style="90" bestFit="1" customWidth="1"/>
    <col min="4879" max="4879" width="7.85546875" style="90" bestFit="1" customWidth="1"/>
    <col min="4880" max="5120" width="10.85546875" style="90"/>
    <col min="5121" max="5121" width="29.42578125" style="90" customWidth="1"/>
    <col min="5122" max="5124" width="14.5703125" style="90" customWidth="1"/>
    <col min="5125" max="5125" width="15.5703125" style="90" customWidth="1"/>
    <col min="5126" max="5126" width="14.28515625" style="90" customWidth="1"/>
    <col min="5127" max="5128" width="14.5703125" style="90" customWidth="1"/>
    <col min="5129" max="5129" width="13.140625" style="90" customWidth="1"/>
    <col min="5130" max="5130" width="16.7109375" style="90" customWidth="1"/>
    <col min="5131" max="5133" width="14.5703125" style="90" bestFit="1" customWidth="1"/>
    <col min="5134" max="5134" width="16.28515625" style="90" bestFit="1" customWidth="1"/>
    <col min="5135" max="5135" width="7.85546875" style="90" bestFit="1" customWidth="1"/>
    <col min="5136" max="5376" width="10.85546875" style="90"/>
    <col min="5377" max="5377" width="29.42578125" style="90" customWidth="1"/>
    <col min="5378" max="5380" width="14.5703125" style="90" customWidth="1"/>
    <col min="5381" max="5381" width="15.5703125" style="90" customWidth="1"/>
    <col min="5382" max="5382" width="14.28515625" style="90" customWidth="1"/>
    <col min="5383" max="5384" width="14.5703125" style="90" customWidth="1"/>
    <col min="5385" max="5385" width="13.140625" style="90" customWidth="1"/>
    <col min="5386" max="5386" width="16.7109375" style="90" customWidth="1"/>
    <col min="5387" max="5389" width="14.5703125" style="90" bestFit="1" customWidth="1"/>
    <col min="5390" max="5390" width="16.28515625" style="90" bestFit="1" customWidth="1"/>
    <col min="5391" max="5391" width="7.85546875" style="90" bestFit="1" customWidth="1"/>
    <col min="5392" max="5632" width="10.85546875" style="90"/>
    <col min="5633" max="5633" width="29.42578125" style="90" customWidth="1"/>
    <col min="5634" max="5636" width="14.5703125" style="90" customWidth="1"/>
    <col min="5637" max="5637" width="15.5703125" style="90" customWidth="1"/>
    <col min="5638" max="5638" width="14.28515625" style="90" customWidth="1"/>
    <col min="5639" max="5640" width="14.5703125" style="90" customWidth="1"/>
    <col min="5641" max="5641" width="13.140625" style="90" customWidth="1"/>
    <col min="5642" max="5642" width="16.7109375" style="90" customWidth="1"/>
    <col min="5643" max="5645" width="14.5703125" style="90" bestFit="1" customWidth="1"/>
    <col min="5646" max="5646" width="16.28515625" style="90" bestFit="1" customWidth="1"/>
    <col min="5647" max="5647" width="7.85546875" style="90" bestFit="1" customWidth="1"/>
    <col min="5648" max="5888" width="10.85546875" style="90"/>
    <col min="5889" max="5889" width="29.42578125" style="90" customWidth="1"/>
    <col min="5890" max="5892" width="14.5703125" style="90" customWidth="1"/>
    <col min="5893" max="5893" width="15.5703125" style="90" customWidth="1"/>
    <col min="5894" max="5894" width="14.28515625" style="90" customWidth="1"/>
    <col min="5895" max="5896" width="14.5703125" style="90" customWidth="1"/>
    <col min="5897" max="5897" width="13.140625" style="90" customWidth="1"/>
    <col min="5898" max="5898" width="16.7109375" style="90" customWidth="1"/>
    <col min="5899" max="5901" width="14.5703125" style="90" bestFit="1" customWidth="1"/>
    <col min="5902" max="5902" width="16.28515625" style="90" bestFit="1" customWidth="1"/>
    <col min="5903" max="5903" width="7.85546875" style="90" bestFit="1" customWidth="1"/>
    <col min="5904" max="6144" width="10.85546875" style="90"/>
    <col min="6145" max="6145" width="29.42578125" style="90" customWidth="1"/>
    <col min="6146" max="6148" width="14.5703125" style="90" customWidth="1"/>
    <col min="6149" max="6149" width="15.5703125" style="90" customWidth="1"/>
    <col min="6150" max="6150" width="14.28515625" style="90" customWidth="1"/>
    <col min="6151" max="6152" width="14.5703125" style="90" customWidth="1"/>
    <col min="6153" max="6153" width="13.140625" style="90" customWidth="1"/>
    <col min="6154" max="6154" width="16.7109375" style="90" customWidth="1"/>
    <col min="6155" max="6157" width="14.5703125" style="90" bestFit="1" customWidth="1"/>
    <col min="6158" max="6158" width="16.28515625" style="90" bestFit="1" customWidth="1"/>
    <col min="6159" max="6159" width="7.85546875" style="90" bestFit="1" customWidth="1"/>
    <col min="6160" max="6400" width="10.85546875" style="90"/>
    <col min="6401" max="6401" width="29.42578125" style="90" customWidth="1"/>
    <col min="6402" max="6404" width="14.5703125" style="90" customWidth="1"/>
    <col min="6405" max="6405" width="15.5703125" style="90" customWidth="1"/>
    <col min="6406" max="6406" width="14.28515625" style="90" customWidth="1"/>
    <col min="6407" max="6408" width="14.5703125" style="90" customWidth="1"/>
    <col min="6409" max="6409" width="13.140625" style="90" customWidth="1"/>
    <col min="6410" max="6410" width="16.7109375" style="90" customWidth="1"/>
    <col min="6411" max="6413" width="14.5703125" style="90" bestFit="1" customWidth="1"/>
    <col min="6414" max="6414" width="16.28515625" style="90" bestFit="1" customWidth="1"/>
    <col min="6415" max="6415" width="7.85546875" style="90" bestFit="1" customWidth="1"/>
    <col min="6416" max="6656" width="10.85546875" style="90"/>
    <col min="6657" max="6657" width="29.42578125" style="90" customWidth="1"/>
    <col min="6658" max="6660" width="14.5703125" style="90" customWidth="1"/>
    <col min="6661" max="6661" width="15.5703125" style="90" customWidth="1"/>
    <col min="6662" max="6662" width="14.28515625" style="90" customWidth="1"/>
    <col min="6663" max="6664" width="14.5703125" style="90" customWidth="1"/>
    <col min="6665" max="6665" width="13.140625" style="90" customWidth="1"/>
    <col min="6666" max="6666" width="16.7109375" style="90" customWidth="1"/>
    <col min="6667" max="6669" width="14.5703125" style="90" bestFit="1" customWidth="1"/>
    <col min="6670" max="6670" width="16.28515625" style="90" bestFit="1" customWidth="1"/>
    <col min="6671" max="6671" width="7.85546875" style="90" bestFit="1" customWidth="1"/>
    <col min="6672" max="6912" width="10.85546875" style="90"/>
    <col min="6913" max="6913" width="29.42578125" style="90" customWidth="1"/>
    <col min="6914" max="6916" width="14.5703125" style="90" customWidth="1"/>
    <col min="6917" max="6917" width="15.5703125" style="90" customWidth="1"/>
    <col min="6918" max="6918" width="14.28515625" style="90" customWidth="1"/>
    <col min="6919" max="6920" width="14.5703125" style="90" customWidth="1"/>
    <col min="6921" max="6921" width="13.140625" style="90" customWidth="1"/>
    <col min="6922" max="6922" width="16.7109375" style="90" customWidth="1"/>
    <col min="6923" max="6925" width="14.5703125" style="90" bestFit="1" customWidth="1"/>
    <col min="6926" max="6926" width="16.28515625" style="90" bestFit="1" customWidth="1"/>
    <col min="6927" max="6927" width="7.85546875" style="90" bestFit="1" customWidth="1"/>
    <col min="6928" max="7168" width="10.85546875" style="90"/>
    <col min="7169" max="7169" width="29.42578125" style="90" customWidth="1"/>
    <col min="7170" max="7172" width="14.5703125" style="90" customWidth="1"/>
    <col min="7173" max="7173" width="15.5703125" style="90" customWidth="1"/>
    <col min="7174" max="7174" width="14.28515625" style="90" customWidth="1"/>
    <col min="7175" max="7176" width="14.5703125" style="90" customWidth="1"/>
    <col min="7177" max="7177" width="13.140625" style="90" customWidth="1"/>
    <col min="7178" max="7178" width="16.7109375" style="90" customWidth="1"/>
    <col min="7179" max="7181" width="14.5703125" style="90" bestFit="1" customWidth="1"/>
    <col min="7182" max="7182" width="16.28515625" style="90" bestFit="1" customWidth="1"/>
    <col min="7183" max="7183" width="7.85546875" style="90" bestFit="1" customWidth="1"/>
    <col min="7184" max="7424" width="10.85546875" style="90"/>
    <col min="7425" max="7425" width="29.42578125" style="90" customWidth="1"/>
    <col min="7426" max="7428" width="14.5703125" style="90" customWidth="1"/>
    <col min="7429" max="7429" width="15.5703125" style="90" customWidth="1"/>
    <col min="7430" max="7430" width="14.28515625" style="90" customWidth="1"/>
    <col min="7431" max="7432" width="14.5703125" style="90" customWidth="1"/>
    <col min="7433" max="7433" width="13.140625" style="90" customWidth="1"/>
    <col min="7434" max="7434" width="16.7109375" style="90" customWidth="1"/>
    <col min="7435" max="7437" width="14.5703125" style="90" bestFit="1" customWidth="1"/>
    <col min="7438" max="7438" width="16.28515625" style="90" bestFit="1" customWidth="1"/>
    <col min="7439" max="7439" width="7.85546875" style="90" bestFit="1" customWidth="1"/>
    <col min="7440" max="7680" width="10.85546875" style="90"/>
    <col min="7681" max="7681" width="29.42578125" style="90" customWidth="1"/>
    <col min="7682" max="7684" width="14.5703125" style="90" customWidth="1"/>
    <col min="7685" max="7685" width="15.5703125" style="90" customWidth="1"/>
    <col min="7686" max="7686" width="14.28515625" style="90" customWidth="1"/>
    <col min="7687" max="7688" width="14.5703125" style="90" customWidth="1"/>
    <col min="7689" max="7689" width="13.140625" style="90" customWidth="1"/>
    <col min="7690" max="7690" width="16.7109375" style="90" customWidth="1"/>
    <col min="7691" max="7693" width="14.5703125" style="90" bestFit="1" customWidth="1"/>
    <col min="7694" max="7694" width="16.28515625" style="90" bestFit="1" customWidth="1"/>
    <col min="7695" max="7695" width="7.85546875" style="90" bestFit="1" customWidth="1"/>
    <col min="7696" max="7936" width="10.85546875" style="90"/>
    <col min="7937" max="7937" width="29.42578125" style="90" customWidth="1"/>
    <col min="7938" max="7940" width="14.5703125" style="90" customWidth="1"/>
    <col min="7941" max="7941" width="15.5703125" style="90" customWidth="1"/>
    <col min="7942" max="7942" width="14.28515625" style="90" customWidth="1"/>
    <col min="7943" max="7944" width="14.5703125" style="90" customWidth="1"/>
    <col min="7945" max="7945" width="13.140625" style="90" customWidth="1"/>
    <col min="7946" max="7946" width="16.7109375" style="90" customWidth="1"/>
    <col min="7947" max="7949" width="14.5703125" style="90" bestFit="1" customWidth="1"/>
    <col min="7950" max="7950" width="16.28515625" style="90" bestFit="1" customWidth="1"/>
    <col min="7951" max="7951" width="7.85546875" style="90" bestFit="1" customWidth="1"/>
    <col min="7952" max="8192" width="10.85546875" style="90"/>
    <col min="8193" max="8193" width="29.42578125" style="90" customWidth="1"/>
    <col min="8194" max="8196" width="14.5703125" style="90" customWidth="1"/>
    <col min="8197" max="8197" width="15.5703125" style="90" customWidth="1"/>
    <col min="8198" max="8198" width="14.28515625" style="90" customWidth="1"/>
    <col min="8199" max="8200" width="14.5703125" style="90" customWidth="1"/>
    <col min="8201" max="8201" width="13.140625" style="90" customWidth="1"/>
    <col min="8202" max="8202" width="16.7109375" style="90" customWidth="1"/>
    <col min="8203" max="8205" width="14.5703125" style="90" bestFit="1" customWidth="1"/>
    <col min="8206" max="8206" width="16.28515625" style="90" bestFit="1" customWidth="1"/>
    <col min="8207" max="8207" width="7.85546875" style="90" bestFit="1" customWidth="1"/>
    <col min="8208" max="8448" width="10.85546875" style="90"/>
    <col min="8449" max="8449" width="29.42578125" style="90" customWidth="1"/>
    <col min="8450" max="8452" width="14.5703125" style="90" customWidth="1"/>
    <col min="8453" max="8453" width="15.5703125" style="90" customWidth="1"/>
    <col min="8454" max="8454" width="14.28515625" style="90" customWidth="1"/>
    <col min="8455" max="8456" width="14.5703125" style="90" customWidth="1"/>
    <col min="8457" max="8457" width="13.140625" style="90" customWidth="1"/>
    <col min="8458" max="8458" width="16.7109375" style="90" customWidth="1"/>
    <col min="8459" max="8461" width="14.5703125" style="90" bestFit="1" customWidth="1"/>
    <col min="8462" max="8462" width="16.28515625" style="90" bestFit="1" customWidth="1"/>
    <col min="8463" max="8463" width="7.85546875" style="90" bestFit="1" customWidth="1"/>
    <col min="8464" max="8704" width="10.85546875" style="90"/>
    <col min="8705" max="8705" width="29.42578125" style="90" customWidth="1"/>
    <col min="8706" max="8708" width="14.5703125" style="90" customWidth="1"/>
    <col min="8709" max="8709" width="15.5703125" style="90" customWidth="1"/>
    <col min="8710" max="8710" width="14.28515625" style="90" customWidth="1"/>
    <col min="8711" max="8712" width="14.5703125" style="90" customWidth="1"/>
    <col min="8713" max="8713" width="13.140625" style="90" customWidth="1"/>
    <col min="8714" max="8714" width="16.7109375" style="90" customWidth="1"/>
    <col min="8715" max="8717" width="14.5703125" style="90" bestFit="1" customWidth="1"/>
    <col min="8718" max="8718" width="16.28515625" style="90" bestFit="1" customWidth="1"/>
    <col min="8719" max="8719" width="7.85546875" style="90" bestFit="1" customWidth="1"/>
    <col min="8720" max="8960" width="10.85546875" style="90"/>
    <col min="8961" max="8961" width="29.42578125" style="90" customWidth="1"/>
    <col min="8962" max="8964" width="14.5703125" style="90" customWidth="1"/>
    <col min="8965" max="8965" width="15.5703125" style="90" customWidth="1"/>
    <col min="8966" max="8966" width="14.28515625" style="90" customWidth="1"/>
    <col min="8967" max="8968" width="14.5703125" style="90" customWidth="1"/>
    <col min="8969" max="8969" width="13.140625" style="90" customWidth="1"/>
    <col min="8970" max="8970" width="16.7109375" style="90" customWidth="1"/>
    <col min="8971" max="8973" width="14.5703125" style="90" bestFit="1" customWidth="1"/>
    <col min="8974" max="8974" width="16.28515625" style="90" bestFit="1" customWidth="1"/>
    <col min="8975" max="8975" width="7.85546875" style="90" bestFit="1" customWidth="1"/>
    <col min="8976" max="9216" width="10.85546875" style="90"/>
    <col min="9217" max="9217" width="29.42578125" style="90" customWidth="1"/>
    <col min="9218" max="9220" width="14.5703125" style="90" customWidth="1"/>
    <col min="9221" max="9221" width="15.5703125" style="90" customWidth="1"/>
    <col min="9222" max="9222" width="14.28515625" style="90" customWidth="1"/>
    <col min="9223" max="9224" width="14.5703125" style="90" customWidth="1"/>
    <col min="9225" max="9225" width="13.140625" style="90" customWidth="1"/>
    <col min="9226" max="9226" width="16.7109375" style="90" customWidth="1"/>
    <col min="9227" max="9229" width="14.5703125" style="90" bestFit="1" customWidth="1"/>
    <col min="9230" max="9230" width="16.28515625" style="90" bestFit="1" customWidth="1"/>
    <col min="9231" max="9231" width="7.85546875" style="90" bestFit="1" customWidth="1"/>
    <col min="9232" max="9472" width="10.85546875" style="90"/>
    <col min="9473" max="9473" width="29.42578125" style="90" customWidth="1"/>
    <col min="9474" max="9476" width="14.5703125" style="90" customWidth="1"/>
    <col min="9477" max="9477" width="15.5703125" style="90" customWidth="1"/>
    <col min="9478" max="9478" width="14.28515625" style="90" customWidth="1"/>
    <col min="9479" max="9480" width="14.5703125" style="90" customWidth="1"/>
    <col min="9481" max="9481" width="13.140625" style="90" customWidth="1"/>
    <col min="9482" max="9482" width="16.7109375" style="90" customWidth="1"/>
    <col min="9483" max="9485" width="14.5703125" style="90" bestFit="1" customWidth="1"/>
    <col min="9486" max="9486" width="16.28515625" style="90" bestFit="1" customWidth="1"/>
    <col min="9487" max="9487" width="7.85546875" style="90" bestFit="1" customWidth="1"/>
    <col min="9488" max="9728" width="10.85546875" style="90"/>
    <col min="9729" max="9729" width="29.42578125" style="90" customWidth="1"/>
    <col min="9730" max="9732" width="14.5703125" style="90" customWidth="1"/>
    <col min="9733" max="9733" width="15.5703125" style="90" customWidth="1"/>
    <col min="9734" max="9734" width="14.28515625" style="90" customWidth="1"/>
    <col min="9735" max="9736" width="14.5703125" style="90" customWidth="1"/>
    <col min="9737" max="9737" width="13.140625" style="90" customWidth="1"/>
    <col min="9738" max="9738" width="16.7109375" style="90" customWidth="1"/>
    <col min="9739" max="9741" width="14.5703125" style="90" bestFit="1" customWidth="1"/>
    <col min="9742" max="9742" width="16.28515625" style="90" bestFit="1" customWidth="1"/>
    <col min="9743" max="9743" width="7.85546875" style="90" bestFit="1" customWidth="1"/>
    <col min="9744" max="9984" width="10.85546875" style="90"/>
    <col min="9985" max="9985" width="29.42578125" style="90" customWidth="1"/>
    <col min="9986" max="9988" width="14.5703125" style="90" customWidth="1"/>
    <col min="9989" max="9989" width="15.5703125" style="90" customWidth="1"/>
    <col min="9990" max="9990" width="14.28515625" style="90" customWidth="1"/>
    <col min="9991" max="9992" width="14.5703125" style="90" customWidth="1"/>
    <col min="9993" max="9993" width="13.140625" style="90" customWidth="1"/>
    <col min="9994" max="9994" width="16.7109375" style="90" customWidth="1"/>
    <col min="9995" max="9997" width="14.5703125" style="90" bestFit="1" customWidth="1"/>
    <col min="9998" max="9998" width="16.28515625" style="90" bestFit="1" customWidth="1"/>
    <col min="9999" max="9999" width="7.85546875" style="90" bestFit="1" customWidth="1"/>
    <col min="10000" max="10240" width="10.85546875" style="90"/>
    <col min="10241" max="10241" width="29.42578125" style="90" customWidth="1"/>
    <col min="10242" max="10244" width="14.5703125" style="90" customWidth="1"/>
    <col min="10245" max="10245" width="15.5703125" style="90" customWidth="1"/>
    <col min="10246" max="10246" width="14.28515625" style="90" customWidth="1"/>
    <col min="10247" max="10248" width="14.5703125" style="90" customWidth="1"/>
    <col min="10249" max="10249" width="13.140625" style="90" customWidth="1"/>
    <col min="10250" max="10250" width="16.7109375" style="90" customWidth="1"/>
    <col min="10251" max="10253" width="14.5703125" style="90" bestFit="1" customWidth="1"/>
    <col min="10254" max="10254" width="16.28515625" style="90" bestFit="1" customWidth="1"/>
    <col min="10255" max="10255" width="7.85546875" style="90" bestFit="1" customWidth="1"/>
    <col min="10256" max="10496" width="10.85546875" style="90"/>
    <col min="10497" max="10497" width="29.42578125" style="90" customWidth="1"/>
    <col min="10498" max="10500" width="14.5703125" style="90" customWidth="1"/>
    <col min="10501" max="10501" width="15.5703125" style="90" customWidth="1"/>
    <col min="10502" max="10502" width="14.28515625" style="90" customWidth="1"/>
    <col min="10503" max="10504" width="14.5703125" style="90" customWidth="1"/>
    <col min="10505" max="10505" width="13.140625" style="90" customWidth="1"/>
    <col min="10506" max="10506" width="16.7109375" style="90" customWidth="1"/>
    <col min="10507" max="10509" width="14.5703125" style="90" bestFit="1" customWidth="1"/>
    <col min="10510" max="10510" width="16.28515625" style="90" bestFit="1" customWidth="1"/>
    <col min="10511" max="10511" width="7.85546875" style="90" bestFit="1" customWidth="1"/>
    <col min="10512" max="10752" width="10.85546875" style="90"/>
    <col min="10753" max="10753" width="29.42578125" style="90" customWidth="1"/>
    <col min="10754" max="10756" width="14.5703125" style="90" customWidth="1"/>
    <col min="10757" max="10757" width="15.5703125" style="90" customWidth="1"/>
    <col min="10758" max="10758" width="14.28515625" style="90" customWidth="1"/>
    <col min="10759" max="10760" width="14.5703125" style="90" customWidth="1"/>
    <col min="10761" max="10761" width="13.140625" style="90" customWidth="1"/>
    <col min="10762" max="10762" width="16.7109375" style="90" customWidth="1"/>
    <col min="10763" max="10765" width="14.5703125" style="90" bestFit="1" customWidth="1"/>
    <col min="10766" max="10766" width="16.28515625" style="90" bestFit="1" customWidth="1"/>
    <col min="10767" max="10767" width="7.85546875" style="90" bestFit="1" customWidth="1"/>
    <col min="10768" max="11008" width="10.85546875" style="90"/>
    <col min="11009" max="11009" width="29.42578125" style="90" customWidth="1"/>
    <col min="11010" max="11012" width="14.5703125" style="90" customWidth="1"/>
    <col min="11013" max="11013" width="15.5703125" style="90" customWidth="1"/>
    <col min="11014" max="11014" width="14.28515625" style="90" customWidth="1"/>
    <col min="11015" max="11016" width="14.5703125" style="90" customWidth="1"/>
    <col min="11017" max="11017" width="13.140625" style="90" customWidth="1"/>
    <col min="11018" max="11018" width="16.7109375" style="90" customWidth="1"/>
    <col min="11019" max="11021" width="14.5703125" style="90" bestFit="1" customWidth="1"/>
    <col min="11022" max="11022" width="16.28515625" style="90" bestFit="1" customWidth="1"/>
    <col min="11023" max="11023" width="7.85546875" style="90" bestFit="1" customWidth="1"/>
    <col min="11024" max="11264" width="10.85546875" style="90"/>
    <col min="11265" max="11265" width="29.42578125" style="90" customWidth="1"/>
    <col min="11266" max="11268" width="14.5703125" style="90" customWidth="1"/>
    <col min="11269" max="11269" width="15.5703125" style="90" customWidth="1"/>
    <col min="11270" max="11270" width="14.28515625" style="90" customWidth="1"/>
    <col min="11271" max="11272" width="14.5703125" style="90" customWidth="1"/>
    <col min="11273" max="11273" width="13.140625" style="90" customWidth="1"/>
    <col min="11274" max="11274" width="16.7109375" style="90" customWidth="1"/>
    <col min="11275" max="11277" width="14.5703125" style="90" bestFit="1" customWidth="1"/>
    <col min="11278" max="11278" width="16.28515625" style="90" bestFit="1" customWidth="1"/>
    <col min="11279" max="11279" width="7.85546875" style="90" bestFit="1" customWidth="1"/>
    <col min="11280" max="11520" width="10.85546875" style="90"/>
    <col min="11521" max="11521" width="29.42578125" style="90" customWidth="1"/>
    <col min="11522" max="11524" width="14.5703125" style="90" customWidth="1"/>
    <col min="11525" max="11525" width="15.5703125" style="90" customWidth="1"/>
    <col min="11526" max="11526" width="14.28515625" style="90" customWidth="1"/>
    <col min="11527" max="11528" width="14.5703125" style="90" customWidth="1"/>
    <col min="11529" max="11529" width="13.140625" style="90" customWidth="1"/>
    <col min="11530" max="11530" width="16.7109375" style="90" customWidth="1"/>
    <col min="11531" max="11533" width="14.5703125" style="90" bestFit="1" customWidth="1"/>
    <col min="11534" max="11534" width="16.28515625" style="90" bestFit="1" customWidth="1"/>
    <col min="11535" max="11535" width="7.85546875" style="90" bestFit="1" customWidth="1"/>
    <col min="11536" max="11776" width="10.85546875" style="90"/>
    <col min="11777" max="11777" width="29.42578125" style="90" customWidth="1"/>
    <col min="11778" max="11780" width="14.5703125" style="90" customWidth="1"/>
    <col min="11781" max="11781" width="15.5703125" style="90" customWidth="1"/>
    <col min="11782" max="11782" width="14.28515625" style="90" customWidth="1"/>
    <col min="11783" max="11784" width="14.5703125" style="90" customWidth="1"/>
    <col min="11785" max="11785" width="13.140625" style="90" customWidth="1"/>
    <col min="11786" max="11786" width="16.7109375" style="90" customWidth="1"/>
    <col min="11787" max="11789" width="14.5703125" style="90" bestFit="1" customWidth="1"/>
    <col min="11790" max="11790" width="16.28515625" style="90" bestFit="1" customWidth="1"/>
    <col min="11791" max="11791" width="7.85546875" style="90" bestFit="1" customWidth="1"/>
    <col min="11792" max="12032" width="10.85546875" style="90"/>
    <col min="12033" max="12033" width="29.42578125" style="90" customWidth="1"/>
    <col min="12034" max="12036" width="14.5703125" style="90" customWidth="1"/>
    <col min="12037" max="12037" width="15.5703125" style="90" customWidth="1"/>
    <col min="12038" max="12038" width="14.28515625" style="90" customWidth="1"/>
    <col min="12039" max="12040" width="14.5703125" style="90" customWidth="1"/>
    <col min="12041" max="12041" width="13.140625" style="90" customWidth="1"/>
    <col min="12042" max="12042" width="16.7109375" style="90" customWidth="1"/>
    <col min="12043" max="12045" width="14.5703125" style="90" bestFit="1" customWidth="1"/>
    <col min="12046" max="12046" width="16.28515625" style="90" bestFit="1" customWidth="1"/>
    <col min="12047" max="12047" width="7.85546875" style="90" bestFit="1" customWidth="1"/>
    <col min="12048" max="12288" width="10.85546875" style="90"/>
    <col min="12289" max="12289" width="29.42578125" style="90" customWidth="1"/>
    <col min="12290" max="12292" width="14.5703125" style="90" customWidth="1"/>
    <col min="12293" max="12293" width="15.5703125" style="90" customWidth="1"/>
    <col min="12294" max="12294" width="14.28515625" style="90" customWidth="1"/>
    <col min="12295" max="12296" width="14.5703125" style="90" customWidth="1"/>
    <col min="12297" max="12297" width="13.140625" style="90" customWidth="1"/>
    <col min="12298" max="12298" width="16.7109375" style="90" customWidth="1"/>
    <col min="12299" max="12301" width="14.5703125" style="90" bestFit="1" customWidth="1"/>
    <col min="12302" max="12302" width="16.28515625" style="90" bestFit="1" customWidth="1"/>
    <col min="12303" max="12303" width="7.85546875" style="90" bestFit="1" customWidth="1"/>
    <col min="12304" max="12544" width="10.85546875" style="90"/>
    <col min="12545" max="12545" width="29.42578125" style="90" customWidth="1"/>
    <col min="12546" max="12548" width="14.5703125" style="90" customWidth="1"/>
    <col min="12549" max="12549" width="15.5703125" style="90" customWidth="1"/>
    <col min="12550" max="12550" width="14.28515625" style="90" customWidth="1"/>
    <col min="12551" max="12552" width="14.5703125" style="90" customWidth="1"/>
    <col min="12553" max="12553" width="13.140625" style="90" customWidth="1"/>
    <col min="12554" max="12554" width="16.7109375" style="90" customWidth="1"/>
    <col min="12555" max="12557" width="14.5703125" style="90" bestFit="1" customWidth="1"/>
    <col min="12558" max="12558" width="16.28515625" style="90" bestFit="1" customWidth="1"/>
    <col min="12559" max="12559" width="7.85546875" style="90" bestFit="1" customWidth="1"/>
    <col min="12560" max="12800" width="10.85546875" style="90"/>
    <col min="12801" max="12801" width="29.42578125" style="90" customWidth="1"/>
    <col min="12802" max="12804" width="14.5703125" style="90" customWidth="1"/>
    <col min="12805" max="12805" width="15.5703125" style="90" customWidth="1"/>
    <col min="12806" max="12806" width="14.28515625" style="90" customWidth="1"/>
    <col min="12807" max="12808" width="14.5703125" style="90" customWidth="1"/>
    <col min="12809" max="12809" width="13.140625" style="90" customWidth="1"/>
    <col min="12810" max="12810" width="16.7109375" style="90" customWidth="1"/>
    <col min="12811" max="12813" width="14.5703125" style="90" bestFit="1" customWidth="1"/>
    <col min="12814" max="12814" width="16.28515625" style="90" bestFit="1" customWidth="1"/>
    <col min="12815" max="12815" width="7.85546875" style="90" bestFit="1" customWidth="1"/>
    <col min="12816" max="13056" width="10.85546875" style="90"/>
    <col min="13057" max="13057" width="29.42578125" style="90" customWidth="1"/>
    <col min="13058" max="13060" width="14.5703125" style="90" customWidth="1"/>
    <col min="13061" max="13061" width="15.5703125" style="90" customWidth="1"/>
    <col min="13062" max="13062" width="14.28515625" style="90" customWidth="1"/>
    <col min="13063" max="13064" width="14.5703125" style="90" customWidth="1"/>
    <col min="13065" max="13065" width="13.140625" style="90" customWidth="1"/>
    <col min="13066" max="13066" width="16.7109375" style="90" customWidth="1"/>
    <col min="13067" max="13069" width="14.5703125" style="90" bestFit="1" customWidth="1"/>
    <col min="13070" max="13070" width="16.28515625" style="90" bestFit="1" customWidth="1"/>
    <col min="13071" max="13071" width="7.85546875" style="90" bestFit="1" customWidth="1"/>
    <col min="13072" max="13312" width="10.85546875" style="90"/>
    <col min="13313" max="13313" width="29.42578125" style="90" customWidth="1"/>
    <col min="13314" max="13316" width="14.5703125" style="90" customWidth="1"/>
    <col min="13317" max="13317" width="15.5703125" style="90" customWidth="1"/>
    <col min="13318" max="13318" width="14.28515625" style="90" customWidth="1"/>
    <col min="13319" max="13320" width="14.5703125" style="90" customWidth="1"/>
    <col min="13321" max="13321" width="13.140625" style="90" customWidth="1"/>
    <col min="13322" max="13322" width="16.7109375" style="90" customWidth="1"/>
    <col min="13323" max="13325" width="14.5703125" style="90" bestFit="1" customWidth="1"/>
    <col min="13326" max="13326" width="16.28515625" style="90" bestFit="1" customWidth="1"/>
    <col min="13327" max="13327" width="7.85546875" style="90" bestFit="1" customWidth="1"/>
    <col min="13328" max="13568" width="10.85546875" style="90"/>
    <col min="13569" max="13569" width="29.42578125" style="90" customWidth="1"/>
    <col min="13570" max="13572" width="14.5703125" style="90" customWidth="1"/>
    <col min="13573" max="13573" width="15.5703125" style="90" customWidth="1"/>
    <col min="13574" max="13574" width="14.28515625" style="90" customWidth="1"/>
    <col min="13575" max="13576" width="14.5703125" style="90" customWidth="1"/>
    <col min="13577" max="13577" width="13.140625" style="90" customWidth="1"/>
    <col min="13578" max="13578" width="16.7109375" style="90" customWidth="1"/>
    <col min="13579" max="13581" width="14.5703125" style="90" bestFit="1" customWidth="1"/>
    <col min="13582" max="13582" width="16.28515625" style="90" bestFit="1" customWidth="1"/>
    <col min="13583" max="13583" width="7.85546875" style="90" bestFit="1" customWidth="1"/>
    <col min="13584" max="13824" width="10.85546875" style="90"/>
    <col min="13825" max="13825" width="29.42578125" style="90" customWidth="1"/>
    <col min="13826" max="13828" width="14.5703125" style="90" customWidth="1"/>
    <col min="13829" max="13829" width="15.5703125" style="90" customWidth="1"/>
    <col min="13830" max="13830" width="14.28515625" style="90" customWidth="1"/>
    <col min="13831" max="13832" width="14.5703125" style="90" customWidth="1"/>
    <col min="13833" max="13833" width="13.140625" style="90" customWidth="1"/>
    <col min="13834" max="13834" width="16.7109375" style="90" customWidth="1"/>
    <col min="13835" max="13837" width="14.5703125" style="90" bestFit="1" customWidth="1"/>
    <col min="13838" max="13838" width="16.28515625" style="90" bestFit="1" customWidth="1"/>
    <col min="13839" max="13839" width="7.85546875" style="90" bestFit="1" customWidth="1"/>
    <col min="13840" max="14080" width="10.85546875" style="90"/>
    <col min="14081" max="14081" width="29.42578125" style="90" customWidth="1"/>
    <col min="14082" max="14084" width="14.5703125" style="90" customWidth="1"/>
    <col min="14085" max="14085" width="15.5703125" style="90" customWidth="1"/>
    <col min="14086" max="14086" width="14.28515625" style="90" customWidth="1"/>
    <col min="14087" max="14088" width="14.5703125" style="90" customWidth="1"/>
    <col min="14089" max="14089" width="13.140625" style="90" customWidth="1"/>
    <col min="14090" max="14090" width="16.7109375" style="90" customWidth="1"/>
    <col min="14091" max="14093" width="14.5703125" style="90" bestFit="1" customWidth="1"/>
    <col min="14094" max="14094" width="16.28515625" style="90" bestFit="1" customWidth="1"/>
    <col min="14095" max="14095" width="7.85546875" style="90" bestFit="1" customWidth="1"/>
    <col min="14096" max="14336" width="10.85546875" style="90"/>
    <col min="14337" max="14337" width="29.42578125" style="90" customWidth="1"/>
    <col min="14338" max="14340" width="14.5703125" style="90" customWidth="1"/>
    <col min="14341" max="14341" width="15.5703125" style="90" customWidth="1"/>
    <col min="14342" max="14342" width="14.28515625" style="90" customWidth="1"/>
    <col min="14343" max="14344" width="14.5703125" style="90" customWidth="1"/>
    <col min="14345" max="14345" width="13.140625" style="90" customWidth="1"/>
    <col min="14346" max="14346" width="16.7109375" style="90" customWidth="1"/>
    <col min="14347" max="14349" width="14.5703125" style="90" bestFit="1" customWidth="1"/>
    <col min="14350" max="14350" width="16.28515625" style="90" bestFit="1" customWidth="1"/>
    <col min="14351" max="14351" width="7.85546875" style="90" bestFit="1" customWidth="1"/>
    <col min="14352" max="14592" width="10.85546875" style="90"/>
    <col min="14593" max="14593" width="29.42578125" style="90" customWidth="1"/>
    <col min="14594" max="14596" width="14.5703125" style="90" customWidth="1"/>
    <col min="14597" max="14597" width="15.5703125" style="90" customWidth="1"/>
    <col min="14598" max="14598" width="14.28515625" style="90" customWidth="1"/>
    <col min="14599" max="14600" width="14.5703125" style="90" customWidth="1"/>
    <col min="14601" max="14601" width="13.140625" style="90" customWidth="1"/>
    <col min="14602" max="14602" width="16.7109375" style="90" customWidth="1"/>
    <col min="14603" max="14605" width="14.5703125" style="90" bestFit="1" customWidth="1"/>
    <col min="14606" max="14606" width="16.28515625" style="90" bestFit="1" customWidth="1"/>
    <col min="14607" max="14607" width="7.85546875" style="90" bestFit="1" customWidth="1"/>
    <col min="14608" max="14848" width="10.85546875" style="90"/>
    <col min="14849" max="14849" width="29.42578125" style="90" customWidth="1"/>
    <col min="14850" max="14852" width="14.5703125" style="90" customWidth="1"/>
    <col min="14853" max="14853" width="15.5703125" style="90" customWidth="1"/>
    <col min="14854" max="14854" width="14.28515625" style="90" customWidth="1"/>
    <col min="14855" max="14856" width="14.5703125" style="90" customWidth="1"/>
    <col min="14857" max="14857" width="13.140625" style="90" customWidth="1"/>
    <col min="14858" max="14858" width="16.7109375" style="90" customWidth="1"/>
    <col min="14859" max="14861" width="14.5703125" style="90" bestFit="1" customWidth="1"/>
    <col min="14862" max="14862" width="16.28515625" style="90" bestFit="1" customWidth="1"/>
    <col min="14863" max="14863" width="7.85546875" style="90" bestFit="1" customWidth="1"/>
    <col min="14864" max="15104" width="10.85546875" style="90"/>
    <col min="15105" max="15105" width="29.42578125" style="90" customWidth="1"/>
    <col min="15106" max="15108" width="14.5703125" style="90" customWidth="1"/>
    <col min="15109" max="15109" width="15.5703125" style="90" customWidth="1"/>
    <col min="15110" max="15110" width="14.28515625" style="90" customWidth="1"/>
    <col min="15111" max="15112" width="14.5703125" style="90" customWidth="1"/>
    <col min="15113" max="15113" width="13.140625" style="90" customWidth="1"/>
    <col min="15114" max="15114" width="16.7109375" style="90" customWidth="1"/>
    <col min="15115" max="15117" width="14.5703125" style="90" bestFit="1" customWidth="1"/>
    <col min="15118" max="15118" width="16.28515625" style="90" bestFit="1" customWidth="1"/>
    <col min="15119" max="15119" width="7.85546875" style="90" bestFit="1" customWidth="1"/>
    <col min="15120" max="15360" width="10.85546875" style="90"/>
    <col min="15361" max="15361" width="29.42578125" style="90" customWidth="1"/>
    <col min="15362" max="15364" width="14.5703125" style="90" customWidth="1"/>
    <col min="15365" max="15365" width="15.5703125" style="90" customWidth="1"/>
    <col min="15366" max="15366" width="14.28515625" style="90" customWidth="1"/>
    <col min="15367" max="15368" width="14.5703125" style="90" customWidth="1"/>
    <col min="15369" max="15369" width="13.140625" style="90" customWidth="1"/>
    <col min="15370" max="15370" width="16.7109375" style="90" customWidth="1"/>
    <col min="15371" max="15373" width="14.5703125" style="90" bestFit="1" customWidth="1"/>
    <col min="15374" max="15374" width="16.28515625" style="90" bestFit="1" customWidth="1"/>
    <col min="15375" max="15375" width="7.85546875" style="90" bestFit="1" customWidth="1"/>
    <col min="15376" max="15616" width="10.85546875" style="90"/>
    <col min="15617" max="15617" width="29.42578125" style="90" customWidth="1"/>
    <col min="15618" max="15620" width="14.5703125" style="90" customWidth="1"/>
    <col min="15621" max="15621" width="15.5703125" style="90" customWidth="1"/>
    <col min="15622" max="15622" width="14.28515625" style="90" customWidth="1"/>
    <col min="15623" max="15624" width="14.5703125" style="90" customWidth="1"/>
    <col min="15625" max="15625" width="13.140625" style="90" customWidth="1"/>
    <col min="15626" max="15626" width="16.7109375" style="90" customWidth="1"/>
    <col min="15627" max="15629" width="14.5703125" style="90" bestFit="1" customWidth="1"/>
    <col min="15630" max="15630" width="16.28515625" style="90" bestFit="1" customWidth="1"/>
    <col min="15631" max="15631" width="7.85546875" style="90" bestFit="1" customWidth="1"/>
    <col min="15632" max="15872" width="10.85546875" style="90"/>
    <col min="15873" max="15873" width="29.42578125" style="90" customWidth="1"/>
    <col min="15874" max="15876" width="14.5703125" style="90" customWidth="1"/>
    <col min="15877" max="15877" width="15.5703125" style="90" customWidth="1"/>
    <col min="15878" max="15878" width="14.28515625" style="90" customWidth="1"/>
    <col min="15879" max="15880" width="14.5703125" style="90" customWidth="1"/>
    <col min="15881" max="15881" width="13.140625" style="90" customWidth="1"/>
    <col min="15882" max="15882" width="16.7109375" style="90" customWidth="1"/>
    <col min="15883" max="15885" width="14.5703125" style="90" bestFit="1" customWidth="1"/>
    <col min="15886" max="15886" width="16.28515625" style="90" bestFit="1" customWidth="1"/>
    <col min="15887" max="15887" width="7.85546875" style="90" bestFit="1" customWidth="1"/>
    <col min="15888" max="16128" width="10.85546875" style="90"/>
    <col min="16129" max="16129" width="29.42578125" style="90" customWidth="1"/>
    <col min="16130" max="16132" width="14.5703125" style="90" customWidth="1"/>
    <col min="16133" max="16133" width="15.5703125" style="90" customWidth="1"/>
    <col min="16134" max="16134" width="14.28515625" style="90" customWidth="1"/>
    <col min="16135" max="16136" width="14.5703125" style="90" customWidth="1"/>
    <col min="16137" max="16137" width="13.140625" style="90" customWidth="1"/>
    <col min="16138" max="16138" width="16.7109375" style="90" customWidth="1"/>
    <col min="16139" max="16141" width="14.5703125" style="90" bestFit="1" customWidth="1"/>
    <col min="16142" max="16142" width="16.28515625" style="90" bestFit="1" customWidth="1"/>
    <col min="16143" max="16143" width="7.85546875" style="90" bestFit="1" customWidth="1"/>
    <col min="16144" max="16384" width="10.85546875" style="90"/>
  </cols>
  <sheetData>
    <row r="1" spans="1:17" s="173" customFormat="1" x14ac:dyDescent="0.2">
      <c r="B1" s="174"/>
      <c r="G1" s="174"/>
      <c r="I1" s="174"/>
      <c r="J1" s="174"/>
      <c r="K1" s="174"/>
      <c r="L1" s="174"/>
      <c r="N1" s="174"/>
    </row>
    <row r="2" spans="1:17" s="173" customFormat="1" x14ac:dyDescent="0.2">
      <c r="B2" s="174"/>
      <c r="G2" s="174"/>
      <c r="I2" s="174"/>
      <c r="J2" s="174"/>
      <c r="K2" s="174"/>
      <c r="L2" s="174"/>
      <c r="N2" s="174"/>
    </row>
    <row r="3" spans="1:17" s="173" customFormat="1" ht="20.25" x14ac:dyDescent="0.3">
      <c r="A3" s="1823" t="s">
        <v>1090</v>
      </c>
      <c r="B3" s="1823"/>
      <c r="C3" s="1823"/>
      <c r="D3" s="1823"/>
      <c r="E3" s="1823"/>
      <c r="F3" s="1823"/>
      <c r="G3" s="1823"/>
      <c r="H3" s="1823"/>
      <c r="I3" s="1823"/>
      <c r="J3" s="1823"/>
      <c r="K3" s="1823"/>
      <c r="L3" s="1823"/>
      <c r="M3" s="1823"/>
      <c r="N3" s="1823"/>
    </row>
    <row r="4" spans="1:17" s="224" customFormat="1" ht="15.75" x14ac:dyDescent="0.25">
      <c r="B4" s="225"/>
      <c r="C4" s="226"/>
      <c r="D4" s="226"/>
      <c r="E4" s="226"/>
      <c r="F4" s="226"/>
      <c r="G4" s="227"/>
      <c r="H4" s="226"/>
      <c r="I4" s="228"/>
      <c r="J4" s="228"/>
      <c r="K4" s="228"/>
      <c r="L4" s="229"/>
      <c r="N4" s="175"/>
    </row>
    <row r="5" spans="1:17" s="224" customFormat="1" ht="16.5" thickBot="1" x14ac:dyDescent="0.3">
      <c r="B5" s="230"/>
      <c r="C5" s="226"/>
      <c r="D5" s="226"/>
      <c r="E5" s="226"/>
      <c r="F5" s="226"/>
      <c r="G5" s="227"/>
      <c r="H5" s="226"/>
      <c r="I5" s="228"/>
      <c r="J5" s="228"/>
      <c r="K5" s="228"/>
      <c r="L5" s="229"/>
      <c r="N5" s="176" t="s">
        <v>189</v>
      </c>
    </row>
    <row r="6" spans="1:17" s="126" customFormat="1" ht="24" customHeight="1" thickBot="1" x14ac:dyDescent="0.3">
      <c r="A6" s="341" t="s">
        <v>214</v>
      </c>
      <c r="B6" s="342" t="s">
        <v>191</v>
      </c>
      <c r="C6" s="343" t="s">
        <v>192</v>
      </c>
      <c r="D6" s="343" t="s">
        <v>193</v>
      </c>
      <c r="E6" s="343" t="s">
        <v>194</v>
      </c>
      <c r="F6" s="343" t="s">
        <v>195</v>
      </c>
      <c r="G6" s="342" t="s">
        <v>196</v>
      </c>
      <c r="H6" s="342" t="s">
        <v>203</v>
      </c>
      <c r="I6" s="342" t="s">
        <v>204</v>
      </c>
      <c r="J6" s="342" t="s">
        <v>197</v>
      </c>
      <c r="K6" s="342" t="s">
        <v>198</v>
      </c>
      <c r="L6" s="342" t="s">
        <v>199</v>
      </c>
      <c r="M6" s="344" t="s">
        <v>200</v>
      </c>
      <c r="N6" s="345" t="s">
        <v>49</v>
      </c>
      <c r="O6" s="346" t="s">
        <v>215</v>
      </c>
    </row>
    <row r="7" spans="1:17" s="232" customFormat="1" ht="24" customHeight="1" thickBot="1" x14ac:dyDescent="0.3">
      <c r="A7" s="347" t="s">
        <v>216</v>
      </c>
      <c r="B7" s="660">
        <f>DATOS!C81</f>
        <v>202800.24</v>
      </c>
      <c r="C7" s="660">
        <f>DATOS!E81</f>
        <v>179570.22</v>
      </c>
      <c r="D7" s="660">
        <f>DATOS!G81</f>
        <v>172276.41</v>
      </c>
      <c r="E7" s="660">
        <f>DATOS!I81</f>
        <v>178407.63</v>
      </c>
      <c r="F7" s="660">
        <f>DATOS!K81</f>
        <v>192445.89</v>
      </c>
      <c r="G7" s="660">
        <f>DATOS!M81</f>
        <v>255760.11</v>
      </c>
      <c r="H7" s="660">
        <f>DATOS!O81</f>
        <v>275842.51</v>
      </c>
      <c r="I7" s="660">
        <f>DATOS!Q81</f>
        <v>55028.38</v>
      </c>
      <c r="J7" s="660">
        <f>DATOS!S81</f>
        <v>225754.9</v>
      </c>
      <c r="K7" s="660">
        <f>DATOS!U81</f>
        <v>222328.63</v>
      </c>
      <c r="L7" s="660">
        <f>DATOS!W81</f>
        <v>202743.36</v>
      </c>
      <c r="M7" s="660">
        <f>DATOS!Y81</f>
        <v>129278.45</v>
      </c>
      <c r="N7" s="547">
        <f>SUM($B7:$M7)</f>
        <v>2292236.73</v>
      </c>
      <c r="O7" s="378">
        <f>N7/$N$13</f>
        <v>0.42950913697186283</v>
      </c>
      <c r="P7" s="231"/>
      <c r="Q7" s="231"/>
    </row>
    <row r="8" spans="1:17" s="232" customFormat="1" ht="24" customHeight="1" thickBot="1" x14ac:dyDescent="0.3">
      <c r="A8" s="1128" t="s">
        <v>752</v>
      </c>
      <c r="B8" s="1129">
        <f>DATOS!D95+DATOS!C95</f>
        <v>100491.06</v>
      </c>
      <c r="C8" s="1129">
        <f>DATOS!F95</f>
        <v>140829.41</v>
      </c>
      <c r="D8" s="1129">
        <f>DATOS!H95</f>
        <v>106991.09</v>
      </c>
      <c r="E8" s="1129">
        <f>DATOS!J95</f>
        <v>115177.02</v>
      </c>
      <c r="F8" s="1129">
        <f>DATOS!L95</f>
        <v>131578.49</v>
      </c>
      <c r="G8" s="1129">
        <f>DATOS!N95</f>
        <v>146938.93</v>
      </c>
      <c r="H8" s="1129">
        <f>DATOS!P95</f>
        <v>1171781.1100000001</v>
      </c>
      <c r="I8" s="1129">
        <f>DATOS!R95</f>
        <v>15263.97</v>
      </c>
      <c r="J8" s="1129">
        <f>DATOS!T95</f>
        <v>163103.23000000001</v>
      </c>
      <c r="K8" s="1129">
        <f>DATOS!V95</f>
        <v>168743.54</v>
      </c>
      <c r="L8" s="1129">
        <f>DATOS!X95</f>
        <v>154602.73000000001</v>
      </c>
      <c r="M8" s="1129">
        <f>DATOS!Z95</f>
        <v>126420.76</v>
      </c>
      <c r="N8" s="547">
        <f>SUM($B8:$M8)</f>
        <v>2541921.34</v>
      </c>
      <c r="O8" s="378">
        <f>N8/$N$13</f>
        <v>0.47629393016216137</v>
      </c>
      <c r="P8" s="231"/>
      <c r="Q8" s="231"/>
    </row>
    <row r="9" spans="1:17" s="232" customFormat="1" ht="24" customHeight="1" thickBot="1" x14ac:dyDescent="0.3">
      <c r="A9" s="348" t="s">
        <v>217</v>
      </c>
      <c r="B9" s="544">
        <f>DATOS!C79+DATOS!C86+DATOS!C93+DATOS!C94+DATOS!C96+DATOS!C102+DATOS!C108+DATOS!C110+DATOS!C111+DATOS!C113+DATOS!C115+DATOS!C119+DATOS!C126+DATOS!C129+DATOS!C131+DATOS!C135+DATOS!C136+DATOS!C145+DATOS!C146+DATOS!C149+DATOS!C150</f>
        <v>17067.820000000003</v>
      </c>
      <c r="C9" s="544">
        <f>DATOS!E79+DATOS!E86+DATOS!E93+DATOS!E94+DATOS!E96+DATOS!E102+DATOS!E108+DATOS!E110+DATOS!E111+DATOS!E113+DATOS!E115+DATOS!E119+DATOS!E126+DATOS!E129+DATOS!E131+DATOS!E135+DATOS!E136+DATOS!E145+DATOS!E146+DATOS!E149+DATOS!E150</f>
        <v>17091.670000000002</v>
      </c>
      <c r="D9" s="544">
        <f>DATOS!G79+DATOS!G86+DATOS!G93+DATOS!G94+DATOS!G96+DATOS!G102+DATOS!G108+DATOS!G110+DATOS!G111+DATOS!G113+DATOS!G115+DATOS!G119+DATOS!G126+DATOS!G129+DATOS!G131+DATOS!G135+DATOS!G136+DATOS!G145+DATOS!G146+DATOS!G149+DATOS!G150</f>
        <v>25595.26</v>
      </c>
      <c r="E9" s="544">
        <f>DATOS!I79+DATOS!I86+DATOS!I93+DATOS!I94+DATOS!I96+DATOS!I102+DATOS!I108+DATOS!I110+DATOS!I111+DATOS!I113+DATOS!I115+DATOS!I119+DATOS!I126+DATOS!I129+DATOS!I131+DATOS!I135+DATOS!I136+DATOS!I145+DATOS!I146+DATOS!I149+DATOS!I150</f>
        <v>17697.919999999995</v>
      </c>
      <c r="F9" s="544">
        <f>DATOS!K79+DATOS!K86+DATOS!K93+DATOS!K94+DATOS!K96+DATOS!K102+DATOS!K108+DATOS!K110+DATOS!K111+DATOS!K113+DATOS!K115+DATOS!K119+DATOS!K126+DATOS!K129+DATOS!K131+DATOS!K135+DATOS!K136+DATOS!K145+DATOS!K146+DATOS!K149+DATOS!K150</f>
        <v>25372.73</v>
      </c>
      <c r="G9" s="544">
        <f>DATOS!M79+DATOS!M86+DATOS!M93+DATOS!M94+DATOS!M96+DATOS!M102+DATOS!M108+DATOS!M110+DATOS!M111+DATOS!M113+DATOS!M115+DATOS!M119+DATOS!M126+DATOS!M129+DATOS!M131+DATOS!M135+DATOS!M136+DATOS!M145+DATOS!M146+DATOS!M149+DATOS!M150</f>
        <v>25275.520000000004</v>
      </c>
      <c r="H9" s="544">
        <f>DATOS!O79+DATOS!O86+DATOS!O93+DATOS!O94+DATOS!O96+DATOS!O102+DATOS!O108+DATOS!O110+DATOS!O111+DATOS!O113+DATOS!O115+DATOS!O119+DATOS!O126+DATOS!O129+DATOS!O131+DATOS!O135+DATOS!O136+DATOS!O145+DATOS!O146+DATOS!O149+DATOS!O150</f>
        <v>23875.879999999997</v>
      </c>
      <c r="I9" s="544">
        <f>DATOS!Q79+DATOS!Q86+DATOS!Q93+DATOS!Q94+DATOS!Q96+DATOS!Q102+DATOS!Q108+DATOS!Q110+DATOS!Q111+DATOS!Q113+DATOS!Q115+DATOS!Q119+DATOS!Q126+DATOS!Q129+DATOS!Q131+DATOS!Q135+DATOS!Q136+DATOS!Q145+DATOS!Q146+DATOS!Q149+DATOS!Q150</f>
        <v>2488.5699999999997</v>
      </c>
      <c r="J9" s="544">
        <f>DATOS!S79+DATOS!S86+DATOS!S93+DATOS!S94+DATOS!S96+DATOS!S102+DATOS!S108+DATOS!S110+DATOS!S111+DATOS!S113+DATOS!S115+DATOS!S119+DATOS!S126+DATOS!S129+DATOS!S131+DATOS!S135+DATOS!S136+DATOS!S145+DATOS!S146+DATOS!S149+DATOS!S150</f>
        <v>27238.720000000001</v>
      </c>
      <c r="K9" s="544">
        <f>DATOS!U79+DATOS!U86+DATOS!U93+DATOS!U94+DATOS!U96+DATOS!U102+DATOS!U108+DATOS!U110+DATOS!U111+DATOS!U113+DATOS!U115+DATOS!U119+DATOS!U126+DATOS!U129+DATOS!U131+DATOS!U135+DATOS!U136+DATOS!U145+DATOS!U146+DATOS!U149+DATOS!U150</f>
        <v>21337.49</v>
      </c>
      <c r="L9" s="544">
        <f>DATOS!W79+DATOS!W86+DATOS!W93+DATOS!W94+DATOS!W96+DATOS!W102+DATOS!W108+DATOS!W110+DATOS!W111+DATOS!W113+DATOS!W115+DATOS!W119+DATOS!W126+DATOS!W129+DATOS!W131+DATOS!W135+DATOS!W136+DATOS!W145+DATOS!W146+DATOS!W149+DATOS!W150</f>
        <v>15587.299999999997</v>
      </c>
      <c r="M9" s="544">
        <f>DATOS!Y79+DATOS!Y86+DATOS!Y93+DATOS!Y94+DATOS!Y96+DATOS!Y102+DATOS!Y108+DATOS!Y110+DATOS!Y111+DATOS!Y113+DATOS!Y115+DATOS!Y119+DATOS!Y126+DATOS!Y129+DATOS!Y131+DATOS!Y135+DATOS!Y136+DATOS!Y145+DATOS!Y146+DATOS!Y149+DATOS!Y150</f>
        <v>17023.710000000003</v>
      </c>
      <c r="N9" s="547">
        <f t="shared" ref="N9:N15" si="0">SUM($B9:$M9)</f>
        <v>235652.58999999997</v>
      </c>
      <c r="O9" s="378">
        <f t="shared" ref="O9:O12" si="1">N9/$N$13</f>
        <v>4.4155535609135897E-2</v>
      </c>
      <c r="P9" s="231"/>
      <c r="Q9" s="231"/>
    </row>
    <row r="10" spans="1:17" s="232" customFormat="1" ht="24" customHeight="1" thickBot="1" x14ac:dyDescent="0.3">
      <c r="A10" s="349" t="s">
        <v>218</v>
      </c>
      <c r="B10" s="544">
        <f>DATOS!C80+DATOS!C82+DATOS!C83+DATOS!C84+DATOS!C85+DATOS!C87+DATOS!C88+DATOS!C89+DATOS!C90+DATOS!C91+DATOS!C92+DATOS!C97+DATOS!C98+DATOS!C99+DATOS!C100+DATOS!C105+DATOS!C107+DATOS!C109+DATOS!C112+DATOS!C114+DATOS!C116+DATOS!C117+DATOS!C120+DATOS!C123+DATOS!C132+DATOS!C137+DATOS!C139+DATOS!C141+DATOS!C143+DATOS!C144+DATOS!C151</f>
        <v>2428.0100000000002</v>
      </c>
      <c r="C10" s="544">
        <f>DATOS!E80+DATOS!E82+DATOS!E83+DATOS!E84+DATOS!E85+DATOS!E87+DATOS!E88+DATOS!E89+DATOS!E90+DATOS!E91+DATOS!E92+DATOS!E97+DATOS!E98+DATOS!E99+DATOS!E100+DATOS!E105+DATOS!E107+DATOS!E109+DATOS!E112+DATOS!E114+DATOS!E116+DATOS!E117+DATOS!E120+DATOS!E123+DATOS!E132+DATOS!E137+DATOS!E139+DATOS!E141+DATOS!E143+DATOS!E144+DATOS!E151</f>
        <v>2672.8599999999997</v>
      </c>
      <c r="D10" s="544">
        <f>DATOS!G80+DATOS!G82+DATOS!G83+DATOS!G84+DATOS!G85+DATOS!G87+DATOS!G88+DATOS!G89+DATOS!G90+DATOS!G91+DATOS!G92+DATOS!G97+DATOS!G98+DATOS!G99+DATOS!G100+DATOS!G105+DATOS!G107+DATOS!G109+DATOS!G112+DATOS!G114+DATOS!G116+DATOS!G117+DATOS!G120+DATOS!G123+DATOS!G132+DATOS!G137+DATOS!G139+DATOS!G141+DATOS!G143+DATOS!G144+DATOS!G151</f>
        <v>7844.7</v>
      </c>
      <c r="E10" s="544">
        <f>DATOS!I80+DATOS!I82+DATOS!I83+DATOS!I84+DATOS!I85+DATOS!I87+DATOS!I88+DATOS!I89+DATOS!I90+DATOS!I91+DATOS!I92+DATOS!I97+DATOS!I98+DATOS!I99+DATOS!I100+DATOS!I105+DATOS!I107+DATOS!I109+DATOS!I112+DATOS!I114+DATOS!I116+DATOS!I117+DATOS!I120+DATOS!I123+DATOS!I132+DATOS!I137+DATOS!I139+DATOS!I141+DATOS!I143+DATOS!I144+DATOS!I151</f>
        <v>4747.8</v>
      </c>
      <c r="F10" s="544">
        <f>DATOS!K80+DATOS!K82+DATOS!K83+DATOS!K84+DATOS!K85+DATOS!K87+DATOS!K88+DATOS!K89+DATOS!K90+DATOS!K91+DATOS!K92+DATOS!K97+DATOS!K98+DATOS!K99+DATOS!K100+DATOS!K105+DATOS!K107+DATOS!K109+DATOS!K112+DATOS!K114+DATOS!K116+DATOS!K117+DATOS!K120+DATOS!K123+DATOS!K132+DATOS!K137+DATOS!K139+DATOS!K141+DATOS!K143+DATOS!K144+DATOS!K151</f>
        <v>12297.03</v>
      </c>
      <c r="G10" s="544">
        <f>DATOS!M80+DATOS!M82+DATOS!M83+DATOS!M84+DATOS!M85+DATOS!M87+DATOS!M88+DATOS!M89+DATOS!M90+DATOS!M91+DATOS!M92+DATOS!M97+DATOS!M98+DATOS!M99+DATOS!M100+DATOS!M105+DATOS!M107+DATOS!M109+DATOS!M112+DATOS!M114+DATOS!M116+DATOS!M117+DATOS!M120+DATOS!M123+DATOS!M132+DATOS!M137+DATOS!M139+DATOS!M141+DATOS!M143+DATOS!M144+DATOS!M151</f>
        <v>7826</v>
      </c>
      <c r="H10" s="544">
        <f>DATOS!O80+DATOS!O82+DATOS!O83+DATOS!O84+DATOS!O85+DATOS!O87+DATOS!O88+DATOS!O89+DATOS!O90+DATOS!O91+DATOS!O92+DATOS!O97+DATOS!O98+DATOS!O99+DATOS!O100+DATOS!O105+DATOS!O107+DATOS!O109+DATOS!O112+DATOS!O114+DATOS!O116+DATOS!O117+DATOS!O120+DATOS!O123+DATOS!O132+DATOS!O137+DATOS!O139+DATOS!O141+DATOS!O143+DATOS!O144+DATOS!O151</f>
        <v>2699.14</v>
      </c>
      <c r="I10" s="544">
        <f>DATOS!Q80+DATOS!Q82+DATOS!Q83+DATOS!Q84+DATOS!Q85+DATOS!Q87+DATOS!Q88+DATOS!Q89+DATOS!Q90+DATOS!Q91+DATOS!Q92+DATOS!Q97+DATOS!Q98+DATOS!Q99+DATOS!Q100+DATOS!Q105+DATOS!Q107+DATOS!Q109+DATOS!Q112+DATOS!Q114+DATOS!Q116+DATOS!Q117+DATOS!Q120+DATOS!Q123+DATOS!Q132+DATOS!Q137+DATOS!Q139+DATOS!Q141+DATOS!Q143+DATOS!Q144+DATOS!Q151</f>
        <v>1202.9100000000001</v>
      </c>
      <c r="J10" s="544">
        <f>DATOS!S80+DATOS!S82+DATOS!S83+DATOS!S84+DATOS!S85+DATOS!S87+DATOS!S88+DATOS!S89+DATOS!S90+DATOS!S91+DATOS!S92+DATOS!S97+DATOS!S98+DATOS!S99+DATOS!S100+DATOS!S105+DATOS!S107+DATOS!S109+DATOS!S112+DATOS!S114+DATOS!S116+DATOS!S117+DATOS!S120+DATOS!S123+DATOS!S132+DATOS!S137+DATOS!S139+DATOS!S141+DATOS!S143+DATOS!S144+DATOS!S151</f>
        <v>17978.88</v>
      </c>
      <c r="K10" s="544">
        <f>DATOS!U80+DATOS!U82+DATOS!U83+DATOS!U84+DATOS!U85+DATOS!U87+DATOS!U88+DATOS!U89+DATOS!U90+DATOS!U91+DATOS!U92+DATOS!U97+DATOS!U98+DATOS!U99+DATOS!U100+DATOS!U105+DATOS!U107+DATOS!U109+DATOS!U112+DATOS!U114+DATOS!U116+DATOS!U117+DATOS!U120+DATOS!U123+DATOS!U132+DATOS!U137+DATOS!U139+DATOS!U141+DATOS!U143+DATOS!U144+DATOS!U151</f>
        <v>22699.699999999997</v>
      </c>
      <c r="L10" s="544">
        <f>DATOS!W80+DATOS!W82+DATOS!W83+DATOS!W84+DATOS!W85+DATOS!W87+DATOS!W88+DATOS!W89+DATOS!W90+DATOS!W91+DATOS!W92+DATOS!W97+DATOS!W98+DATOS!W99+DATOS!W100+DATOS!W105+DATOS!W107+DATOS!W109+DATOS!W112+DATOS!W114+DATOS!W116+DATOS!W117+DATOS!W120+DATOS!W123+DATOS!W132+DATOS!W137+DATOS!W139+DATOS!W141+DATOS!W143+DATOS!W144+DATOS!W151</f>
        <v>16753.009999999998</v>
      </c>
      <c r="M10" s="544">
        <f>DATOS!Y80+DATOS!Y82+DATOS!Y83+DATOS!Y84+DATOS!Y85+DATOS!Y87+DATOS!Y88+DATOS!Y89+DATOS!Y90+DATOS!Y91+DATOS!Y92+DATOS!Y97+DATOS!Y98+DATOS!Y99+DATOS!Y100+DATOS!Y105+DATOS!Y107+DATOS!Y109+DATOS!Y112+DATOS!Y114+DATOS!Y116+DATOS!Y117+DATOS!Y120+DATOS!Y123+DATOS!Y132+DATOS!Y137+DATOS!Y139+DATOS!Y141+DATOS!Y143+DATOS!Y144+DATOS!Y51</f>
        <v>2886.11</v>
      </c>
      <c r="N10" s="547">
        <f t="shared" si="0"/>
        <v>102036.15</v>
      </c>
      <c r="O10" s="378">
        <f t="shared" si="1"/>
        <v>1.911908057002103E-2</v>
      </c>
      <c r="P10" s="231"/>
      <c r="Q10" s="231"/>
    </row>
    <row r="11" spans="1:17" s="126" customFormat="1" ht="24" customHeight="1" thickBot="1" x14ac:dyDescent="0.3">
      <c r="A11" s="348" t="s">
        <v>219</v>
      </c>
      <c r="B11" s="545">
        <f>DATOS!C101+DATOS!C104+DATOS!C106+DATOS!C122+DATOS!C127+DATOS!C128+DATOS!C134+DATOS!C140+DATOS!C147+DATOS!C148+DATOS!C152</f>
        <v>3414.46</v>
      </c>
      <c r="C11" s="545">
        <f>DATOS!E101+DATOS!E104+DATOS!E106+DATOS!E122+DATOS!E127+DATOS!E128+DATOS!E134+DATOS!E140+DATOS!E147+DATOS!E148+DATOS!E152</f>
        <v>4590.04</v>
      </c>
      <c r="D11" s="545">
        <f>DATOS!G101+DATOS!G104+DATOS!G106+DATOS!G122+DATOS!G127+DATOS!G128+DATOS!G134+DATOS!G140+DATOS!G147+DATOS!G148+DATOS!G152</f>
        <v>4754.08</v>
      </c>
      <c r="E11" s="545">
        <f>DATOS!I101+DATOS!I104+DATOS!I106+DATOS!I122+DATOS!I127+DATOS!I128+DATOS!I134+DATOS!I140+DATOS!I147+DATOS!I148+DATOS!I152</f>
        <v>2167.75</v>
      </c>
      <c r="F11" s="545">
        <f>DATOS!K101+DATOS!K104+DATOS!K106+DATOS!K122+DATOS!K127+DATOS!K128+DATOS!K134+DATOS!K140+DATOS!K147+DATOS!K148+DATOS!K152</f>
        <v>6091.5300000000007</v>
      </c>
      <c r="G11" s="545">
        <f>DATOS!M101+DATOS!M104+DATOS!M106+DATOS!M122+DATOS!M127+DATOS!M128+DATOS!M134+DATOS!M140+DATOS!M147+DATOS!M148+DATOS!M152</f>
        <v>5130.4399999999996</v>
      </c>
      <c r="H11" s="545">
        <f>DATOS!O101+DATOS!O104+DATOS!O106+DATOS!O122+DATOS!O127+DATOS!O128+DATOS!O134+DATOS!O140+DATOS!O147+DATOS!O148+DATOS!O152</f>
        <v>4214.21</v>
      </c>
      <c r="I11" s="545">
        <f>DATOS!Q101+DATOS!Q104+DATOS!Q106+DATOS!Q122+DATOS!Q127+DATOS!Q128+DATOS!Q134+DATOS!Q140+DATOS!Q147+DATOS!Q148+DATOS!Q152</f>
        <v>1158.6400000000001</v>
      </c>
      <c r="J11" s="545">
        <f>DATOS!S101+DATOS!S104+DATOS!S106+DATOS!S122+DATOS!S127+DATOS!S128+DATOS!S134+DATOS!S140+DATOS!S147+DATOS!S148+DATOS!S152</f>
        <v>2070.3200000000002</v>
      </c>
      <c r="K11" s="545">
        <f>DATOS!U101+DATOS!U104+DATOS!U106+DATOS!U122+DATOS!U127+DATOS!U128+DATOS!U134+DATOS!U140+DATOS!U147+DATOS!U148+DATOS!U152</f>
        <v>1903.27</v>
      </c>
      <c r="L11" s="545">
        <f>DATOS!W101+DATOS!W104+DATOS!W106+DATOS!W122+DATOS!W127+DATOS!W128+DATOS!W134+DATOS!W140+DATOS!W147+DATOS!W148+DATOS!W152</f>
        <v>3823.7599999999998</v>
      </c>
      <c r="M11" s="545">
        <f>DATOS!Y101+DATOS!Y104+DATOS!Y106+DATOS!Y122+DATOS!Y127+DATOS!Y128+DATOS!Y134+DATOS!Y140+DATOS!Y147+DATOS!Y148+DATOS!Y152</f>
        <v>1867.2</v>
      </c>
      <c r="N11" s="547">
        <f t="shared" si="0"/>
        <v>41185.699999999997</v>
      </c>
      <c r="O11" s="378">
        <f t="shared" si="1"/>
        <v>7.7171935302607466E-3</v>
      </c>
      <c r="P11" s="233"/>
      <c r="Q11" s="233"/>
    </row>
    <row r="12" spans="1:17" s="126" customFormat="1" ht="24" customHeight="1" thickBot="1" x14ac:dyDescent="0.3">
      <c r="A12" s="348" t="s">
        <v>220</v>
      </c>
      <c r="B12" s="544">
        <f>DATOS!C103+DATOS!C118+DATOS!C121+DATOS!C124+DATOS!C125+DATOS!C130+DATOS!C133+DATOS!C138+DATOS!C153</f>
        <v>12749.7</v>
      </c>
      <c r="C12" s="544">
        <f>DATOS!E103+DATOS!E118+DATOS!E121+DATOS!E124+DATOS!E125+DATOS!E130+DATOS!E133+DATOS!E138+DATOS!E153</f>
        <v>11245.39</v>
      </c>
      <c r="D12" s="544">
        <f>DATOS!G103+DATOS!G118+DATOS!G121+DATOS!G124+DATOS!G125+DATOS!G130+DATOS!G133+DATOS!G138+DATOS!G153</f>
        <v>10339.27</v>
      </c>
      <c r="E12" s="544">
        <f>DATOS!I103+DATOS!I118+DATOS!I121+DATOS!I124+DATOS!I125+DATOS!I130+DATOS!I133+DATOS!I138+DATOS!I153</f>
        <v>10908.94</v>
      </c>
      <c r="F12" s="544">
        <f>DATOS!K103+DATOS!K118+DATOS!K121+DATOS!K124+DATOS!K125+DATOS!K130+DATOS!K133+DATOS!K138+DATOS!K153</f>
        <v>12822.51</v>
      </c>
      <c r="G12" s="544">
        <f>DATOS!M103+DATOS!M118+DATOS!M121+DATOS!M124+DATOS!M125+DATOS!M130+DATOS!M133+DATOS!M138+DATOS!M153</f>
        <v>6136.42</v>
      </c>
      <c r="H12" s="544">
        <f>DATOS!O103+DATOS!O118+DATOS!O121+DATOS!O124+DATOS!O125+DATOS!O130+DATOS!O133+DATOS!O138+DATOS!O153</f>
        <v>17479.63</v>
      </c>
      <c r="I12" s="544">
        <f>DATOS!Q103+DATOS!Q118+DATOS!Q121+DATOS!Q124+DATOS!Q125+DATOS!Q130+DATOS!Q133+DATOS!Q138+DATOS!Q153</f>
        <v>517.69000000000005</v>
      </c>
      <c r="J12" s="544">
        <f>DATOS!S103+DATOS!S118+DATOS!S121+DATOS!S124+DATOS!S125+DATOS!S130+DATOS!S133+DATOS!S138+DATOS!S153</f>
        <v>12656.94</v>
      </c>
      <c r="K12" s="544">
        <f>DATOS!U103+DATOS!U118+DATOS!U121+DATOS!U124+DATOS!U125+DATOS!U130+DATOS!U133+DATOS!U138+DATOS!U153</f>
        <v>5420.46</v>
      </c>
      <c r="L12" s="544">
        <f>DATOS!W103+DATOS!W118+DATOS!W121+DATOS!W124+DATOS!W125+DATOS!W130+DATOS!W133+DATOS!W138+DATOS!W153</f>
        <v>10143.98</v>
      </c>
      <c r="M12" s="544">
        <f>DATOS!Y103+DATOS!Y118+DATOS!Y121+DATOS!Y124+DATOS!Y125+DATOS!Y130+DATOS!Y133+DATOS!Y138+DATOS!Y153</f>
        <v>13421.920000000002</v>
      </c>
      <c r="N12" s="547">
        <f t="shared" si="0"/>
        <v>123842.85</v>
      </c>
      <c r="O12" s="378">
        <f t="shared" si="1"/>
        <v>2.3205123156558035E-2</v>
      </c>
      <c r="P12" s="233"/>
      <c r="Q12" s="233"/>
    </row>
    <row r="13" spans="1:17" s="126" customFormat="1" ht="24" customHeight="1" thickBot="1" x14ac:dyDescent="0.3">
      <c r="A13" s="350" t="s">
        <v>221</v>
      </c>
      <c r="B13" s="548">
        <f>SUM(B$7:B$12)</f>
        <v>338951.29000000004</v>
      </c>
      <c r="C13" s="548">
        <f t="shared" ref="C13:M13" si="2">SUM(C$7:C$12)</f>
        <v>355999.58999999997</v>
      </c>
      <c r="D13" s="548">
        <f t="shared" si="2"/>
        <v>327800.81000000006</v>
      </c>
      <c r="E13" s="548">
        <f t="shared" si="2"/>
        <v>329107.06</v>
      </c>
      <c r="F13" s="548">
        <f t="shared" si="2"/>
        <v>380608.18000000005</v>
      </c>
      <c r="G13" s="548">
        <f t="shared" si="2"/>
        <v>447067.42</v>
      </c>
      <c r="H13" s="548">
        <f t="shared" si="2"/>
        <v>1495892.4799999997</v>
      </c>
      <c r="I13" s="548">
        <f t="shared" si="2"/>
        <v>75660.159999999989</v>
      </c>
      <c r="J13" s="548">
        <f t="shared" si="2"/>
        <v>448802.99</v>
      </c>
      <c r="K13" s="548">
        <f t="shared" si="2"/>
        <v>442433.09000000008</v>
      </c>
      <c r="L13" s="548">
        <f t="shared" si="2"/>
        <v>403654.13999999996</v>
      </c>
      <c r="M13" s="548">
        <f t="shared" si="2"/>
        <v>290898.14999999997</v>
      </c>
      <c r="N13" s="547">
        <f t="shared" si="0"/>
        <v>5336875.3600000003</v>
      </c>
      <c r="O13" s="351">
        <v>100</v>
      </c>
    </row>
    <row r="14" spans="1:17" s="126" customFormat="1" ht="24" customHeight="1" thickBot="1" x14ac:dyDescent="0.3">
      <c r="A14" s="352" t="s">
        <v>770</v>
      </c>
      <c r="B14" s="353">
        <f>DATOS!C$22</f>
        <v>20</v>
      </c>
      <c r="C14" s="353">
        <f>DATOS!E$22</f>
        <v>20</v>
      </c>
      <c r="D14" s="353">
        <f>DATOS!G$22</f>
        <v>22</v>
      </c>
      <c r="E14" s="353">
        <f>DATOS!I$22</f>
        <v>20</v>
      </c>
      <c r="F14" s="353">
        <f>DATOS!K$22</f>
        <v>20</v>
      </c>
      <c r="G14" s="353">
        <f>DATOS!M$22</f>
        <v>22</v>
      </c>
      <c r="H14" s="353">
        <f>DATOS!O$22</f>
        <v>23</v>
      </c>
      <c r="I14" s="353">
        <f>DATOS!Q$22</f>
        <v>19</v>
      </c>
      <c r="J14" s="353">
        <f>DATOS!S$22</f>
        <v>22</v>
      </c>
      <c r="K14" s="353">
        <f>DATOS!U$22</f>
        <v>21</v>
      </c>
      <c r="L14" s="353">
        <f>DATOS!W$22</f>
        <v>20</v>
      </c>
      <c r="M14" s="353">
        <f>DATOS!Y$22</f>
        <v>21</v>
      </c>
      <c r="N14" s="747">
        <f t="shared" si="0"/>
        <v>250</v>
      </c>
      <c r="O14" s="354"/>
    </row>
    <row r="15" spans="1:17" s="126" customFormat="1" ht="24" customHeight="1" x14ac:dyDescent="0.25">
      <c r="A15" s="352" t="s">
        <v>769</v>
      </c>
      <c r="B15" s="353">
        <f>DATOS!D$22</f>
        <v>18</v>
      </c>
      <c r="C15" s="353">
        <f>DATOS!F$22</f>
        <v>20</v>
      </c>
      <c r="D15" s="353">
        <f>DATOS!H$22</f>
        <v>22</v>
      </c>
      <c r="E15" s="353">
        <f>DATOS!J$22</f>
        <v>20</v>
      </c>
      <c r="F15" s="353">
        <f>DATOS!L$22</f>
        <v>20</v>
      </c>
      <c r="G15" s="353">
        <f>DATOS!N$22</f>
        <v>22</v>
      </c>
      <c r="H15" s="353">
        <f>DATOS!P$22</f>
        <v>23</v>
      </c>
      <c r="I15" s="353">
        <f>DATOS!R$22</f>
        <v>21</v>
      </c>
      <c r="J15" s="353">
        <f>DATOS!T$22</f>
        <v>22</v>
      </c>
      <c r="K15" s="353">
        <f>DATOS!V$22</f>
        <v>21</v>
      </c>
      <c r="L15" s="353">
        <f>DATOS!X$22</f>
        <v>21</v>
      </c>
      <c r="M15" s="353">
        <f>DATOS!Z$22</f>
        <v>20</v>
      </c>
      <c r="N15" s="747">
        <f t="shared" si="0"/>
        <v>250</v>
      </c>
      <c r="O15" s="1131"/>
    </row>
    <row r="16" spans="1:17" s="126" customFormat="1" ht="24" customHeight="1" x14ac:dyDescent="0.25">
      <c r="A16" s="1130" t="s">
        <v>772</v>
      </c>
      <c r="B16" s="1132">
        <f>(B$7+B$9+B$10+B$11+B$12)/B$14</f>
        <v>11923.011500000001</v>
      </c>
      <c r="C16" s="1132">
        <f t="shared" ref="C16:M16" si="3">(C$7+C$9+C$10+C$11+C$12)/C$14</f>
        <v>10758.509</v>
      </c>
      <c r="D16" s="1132">
        <f t="shared" si="3"/>
        <v>10036.805454545454</v>
      </c>
      <c r="E16" s="1132">
        <f t="shared" si="3"/>
        <v>10696.501999999999</v>
      </c>
      <c r="F16" s="1132">
        <f t="shared" si="3"/>
        <v>12451.484500000002</v>
      </c>
      <c r="G16" s="1132">
        <f t="shared" si="3"/>
        <v>13642.20409090909</v>
      </c>
      <c r="H16" s="1132">
        <f t="shared" si="3"/>
        <v>14091.798695652176</v>
      </c>
      <c r="I16" s="1132">
        <f t="shared" si="3"/>
        <v>3178.7468421052631</v>
      </c>
      <c r="J16" s="1132">
        <f t="shared" si="3"/>
        <v>12986.352727272728</v>
      </c>
      <c r="K16" s="1132">
        <f t="shared" si="3"/>
        <v>13032.835714285717</v>
      </c>
      <c r="L16" s="1132">
        <f t="shared" si="3"/>
        <v>12452.5705</v>
      </c>
      <c r="M16" s="1132">
        <f t="shared" si="3"/>
        <v>7832.2566666666671</v>
      </c>
      <c r="N16" s="1133">
        <f>(N7+N9+N10+N11+N12)/N14</f>
        <v>11179.816080000001</v>
      </c>
      <c r="O16" s="1131"/>
    </row>
    <row r="17" spans="1:17" s="126" customFormat="1" ht="24" customHeight="1" thickBot="1" x14ac:dyDescent="0.3">
      <c r="A17" s="355" t="s">
        <v>771</v>
      </c>
      <c r="B17" s="549">
        <f>B$8/B$15</f>
        <v>5582.8366666666661</v>
      </c>
      <c r="C17" s="549">
        <f t="shared" ref="C17:M17" si="4">C$8/C$15</f>
        <v>7041.4705000000004</v>
      </c>
      <c r="D17" s="549">
        <f t="shared" si="4"/>
        <v>4863.2313636363633</v>
      </c>
      <c r="E17" s="549">
        <f t="shared" si="4"/>
        <v>5758.8510000000006</v>
      </c>
      <c r="F17" s="549">
        <f t="shared" si="4"/>
        <v>6578.9244999999992</v>
      </c>
      <c r="G17" s="549">
        <f t="shared" si="4"/>
        <v>6679.0422727272726</v>
      </c>
      <c r="H17" s="549">
        <f t="shared" si="4"/>
        <v>50947.004782608703</v>
      </c>
      <c r="I17" s="549">
        <f t="shared" si="4"/>
        <v>726.85571428571427</v>
      </c>
      <c r="J17" s="549">
        <f t="shared" si="4"/>
        <v>7413.7831818181821</v>
      </c>
      <c r="K17" s="549">
        <f t="shared" si="4"/>
        <v>8035.4066666666668</v>
      </c>
      <c r="L17" s="549">
        <f t="shared" si="4"/>
        <v>7362.0347619047625</v>
      </c>
      <c r="M17" s="549">
        <f t="shared" si="4"/>
        <v>6321.0379999999996</v>
      </c>
      <c r="N17" s="550">
        <f>N8/N15</f>
        <v>10167.685359999999</v>
      </c>
      <c r="O17" s="356"/>
      <c r="P17" s="233"/>
      <c r="Q17" s="233"/>
    </row>
    <row r="18" spans="1:17" s="126" customFormat="1" ht="24" customHeight="1" thickBot="1" x14ac:dyDescent="0.3">
      <c r="A18" s="355" t="s">
        <v>773</v>
      </c>
      <c r="B18" s="549">
        <f>SUM(B16:B17)</f>
        <v>17505.848166666667</v>
      </c>
      <c r="C18" s="549">
        <f t="shared" ref="C18:N18" si="5">SUM(C16:C17)</f>
        <v>17799.979500000001</v>
      </c>
      <c r="D18" s="549">
        <f t="shared" si="5"/>
        <v>14900.036818181818</v>
      </c>
      <c r="E18" s="549">
        <f t="shared" si="5"/>
        <v>16455.352999999999</v>
      </c>
      <c r="F18" s="549">
        <f t="shared" si="5"/>
        <v>19030.409</v>
      </c>
      <c r="G18" s="549">
        <f t="shared" si="5"/>
        <v>20321.246363636361</v>
      </c>
      <c r="H18" s="549">
        <f t="shared" si="5"/>
        <v>65038.803478260881</v>
      </c>
      <c r="I18" s="549">
        <f t="shared" si="5"/>
        <v>3905.6025563909775</v>
      </c>
      <c r="J18" s="549">
        <f t="shared" si="5"/>
        <v>20400.13590909091</v>
      </c>
      <c r="K18" s="549">
        <f t="shared" si="5"/>
        <v>21068.242380952383</v>
      </c>
      <c r="L18" s="549">
        <f t="shared" si="5"/>
        <v>19814.605261904762</v>
      </c>
      <c r="M18" s="549">
        <f t="shared" si="5"/>
        <v>14153.294666666667</v>
      </c>
      <c r="N18" s="549">
        <f t="shared" si="5"/>
        <v>21347.50144</v>
      </c>
      <c r="O18" s="356"/>
      <c r="P18" s="233"/>
      <c r="Q18" s="233"/>
    </row>
    <row r="19" spans="1:17" s="173" customFormat="1" ht="12" customHeight="1" x14ac:dyDescent="0.2">
      <c r="B19" s="174"/>
      <c r="G19" s="174"/>
      <c r="H19" s="126"/>
      <c r="I19" s="174"/>
      <c r="J19" s="174"/>
      <c r="K19" s="174"/>
      <c r="L19" s="234"/>
      <c r="N19" s="174"/>
    </row>
    <row r="20" spans="1:17" ht="28.5" customHeight="1" x14ac:dyDescent="0.2">
      <c r="L20" s="235"/>
    </row>
    <row r="51" spans="1:1" ht="15.75" x14ac:dyDescent="0.25">
      <c r="A51" s="236"/>
    </row>
  </sheetData>
  <mergeCells count="1">
    <mergeCell ref="A3:N3"/>
  </mergeCells>
  <printOptions horizontalCentered="1"/>
  <pageMargins left="0.15748031496062992" right="0.23622047244094491" top="0.55000000000000004" bottom="0.31496062992125984" header="0" footer="0"/>
  <pageSetup paperSize="9" scale="60" orientation="landscape" horizontalDpi="4294967292" r:id="rId1"/>
  <headerFooter alignWithMargins="0">
    <oddFooter>&amp;R&amp;12Pág.. 1</oddFooter>
  </headerFooter>
  <ignoredErrors>
    <ignoredError sqref="J16:M18" evalError="1"/>
    <ignoredError sqref="G9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rgb="FF0000FF"/>
    <pageSetUpPr fitToPage="1"/>
  </sheetPr>
  <dimension ref="A1:Q78"/>
  <sheetViews>
    <sheetView showGridLines="0" workbookViewId="0">
      <selection activeCell="E30" sqref="E30"/>
    </sheetView>
  </sheetViews>
  <sheetFormatPr baseColWidth="10" defaultRowHeight="12.75" x14ac:dyDescent="0.2"/>
  <cols>
    <col min="1" max="1" width="28.7109375" style="90" customWidth="1"/>
    <col min="2" max="2" width="14.140625" style="90" customWidth="1"/>
    <col min="3" max="3" width="14" style="90" customWidth="1"/>
    <col min="4" max="4" width="14.140625" style="90" customWidth="1"/>
    <col min="5" max="5" width="14.5703125" style="90" customWidth="1"/>
    <col min="6" max="6" width="14.28515625" style="90" customWidth="1"/>
    <col min="7" max="7" width="14.42578125" style="90" customWidth="1"/>
    <col min="8" max="8" width="13.85546875" style="90" customWidth="1"/>
    <col min="9" max="9" width="12.7109375" style="90" customWidth="1"/>
    <col min="10" max="10" width="13.5703125" style="90" customWidth="1"/>
    <col min="11" max="11" width="14.7109375" style="90" customWidth="1"/>
    <col min="12" max="12" width="13.28515625" style="90" bestFit="1" customWidth="1"/>
    <col min="13" max="13" width="12.140625" style="90" customWidth="1"/>
    <col min="14" max="14" width="12.42578125" style="90" customWidth="1"/>
    <col min="15" max="256" width="10.85546875" style="90"/>
    <col min="257" max="257" width="31.28515625" style="90" customWidth="1"/>
    <col min="258" max="269" width="13.28515625" style="90" bestFit="1" customWidth="1"/>
    <col min="270" max="270" width="16.28515625" style="90" bestFit="1" customWidth="1"/>
    <col min="271" max="512" width="10.85546875" style="90"/>
    <col min="513" max="513" width="31.28515625" style="90" customWidth="1"/>
    <col min="514" max="525" width="13.28515625" style="90" bestFit="1" customWidth="1"/>
    <col min="526" max="526" width="16.28515625" style="90" bestFit="1" customWidth="1"/>
    <col min="527" max="768" width="10.85546875" style="90"/>
    <col min="769" max="769" width="31.28515625" style="90" customWidth="1"/>
    <col min="770" max="781" width="13.28515625" style="90" bestFit="1" customWidth="1"/>
    <col min="782" max="782" width="16.28515625" style="90" bestFit="1" customWidth="1"/>
    <col min="783" max="1024" width="10.85546875" style="90"/>
    <col min="1025" max="1025" width="31.28515625" style="90" customWidth="1"/>
    <col min="1026" max="1037" width="13.28515625" style="90" bestFit="1" customWidth="1"/>
    <col min="1038" max="1038" width="16.28515625" style="90" bestFit="1" customWidth="1"/>
    <col min="1039" max="1280" width="10.85546875" style="90"/>
    <col min="1281" max="1281" width="31.28515625" style="90" customWidth="1"/>
    <col min="1282" max="1293" width="13.28515625" style="90" bestFit="1" customWidth="1"/>
    <col min="1294" max="1294" width="16.28515625" style="90" bestFit="1" customWidth="1"/>
    <col min="1295" max="1536" width="10.85546875" style="90"/>
    <col min="1537" max="1537" width="31.28515625" style="90" customWidth="1"/>
    <col min="1538" max="1549" width="13.28515625" style="90" bestFit="1" customWidth="1"/>
    <col min="1550" max="1550" width="16.28515625" style="90" bestFit="1" customWidth="1"/>
    <col min="1551" max="1792" width="10.85546875" style="90"/>
    <col min="1793" max="1793" width="31.28515625" style="90" customWidth="1"/>
    <col min="1794" max="1805" width="13.28515625" style="90" bestFit="1" customWidth="1"/>
    <col min="1806" max="1806" width="16.28515625" style="90" bestFit="1" customWidth="1"/>
    <col min="1807" max="2048" width="10.85546875" style="90"/>
    <col min="2049" max="2049" width="31.28515625" style="90" customWidth="1"/>
    <col min="2050" max="2061" width="13.28515625" style="90" bestFit="1" customWidth="1"/>
    <col min="2062" max="2062" width="16.28515625" style="90" bestFit="1" customWidth="1"/>
    <col min="2063" max="2304" width="10.85546875" style="90"/>
    <col min="2305" max="2305" width="31.28515625" style="90" customWidth="1"/>
    <col min="2306" max="2317" width="13.28515625" style="90" bestFit="1" customWidth="1"/>
    <col min="2318" max="2318" width="16.28515625" style="90" bestFit="1" customWidth="1"/>
    <col min="2319" max="2560" width="10.85546875" style="90"/>
    <col min="2561" max="2561" width="31.28515625" style="90" customWidth="1"/>
    <col min="2562" max="2573" width="13.28515625" style="90" bestFit="1" customWidth="1"/>
    <col min="2574" max="2574" width="16.28515625" style="90" bestFit="1" customWidth="1"/>
    <col min="2575" max="2816" width="10.85546875" style="90"/>
    <col min="2817" max="2817" width="31.28515625" style="90" customWidth="1"/>
    <col min="2818" max="2829" width="13.28515625" style="90" bestFit="1" customWidth="1"/>
    <col min="2830" max="2830" width="16.28515625" style="90" bestFit="1" customWidth="1"/>
    <col min="2831" max="3072" width="10.85546875" style="90"/>
    <col min="3073" max="3073" width="31.28515625" style="90" customWidth="1"/>
    <col min="3074" max="3085" width="13.28515625" style="90" bestFit="1" customWidth="1"/>
    <col min="3086" max="3086" width="16.28515625" style="90" bestFit="1" customWidth="1"/>
    <col min="3087" max="3328" width="10.85546875" style="90"/>
    <col min="3329" max="3329" width="31.28515625" style="90" customWidth="1"/>
    <col min="3330" max="3341" width="13.28515625" style="90" bestFit="1" customWidth="1"/>
    <col min="3342" max="3342" width="16.28515625" style="90" bestFit="1" customWidth="1"/>
    <col min="3343" max="3584" width="10.85546875" style="90"/>
    <col min="3585" max="3585" width="31.28515625" style="90" customWidth="1"/>
    <col min="3586" max="3597" width="13.28515625" style="90" bestFit="1" customWidth="1"/>
    <col min="3598" max="3598" width="16.28515625" style="90" bestFit="1" customWidth="1"/>
    <col min="3599" max="3840" width="10.85546875" style="90"/>
    <col min="3841" max="3841" width="31.28515625" style="90" customWidth="1"/>
    <col min="3842" max="3853" width="13.28515625" style="90" bestFit="1" customWidth="1"/>
    <col min="3854" max="3854" width="16.28515625" style="90" bestFit="1" customWidth="1"/>
    <col min="3855" max="4096" width="10.85546875" style="90"/>
    <col min="4097" max="4097" width="31.28515625" style="90" customWidth="1"/>
    <col min="4098" max="4109" width="13.28515625" style="90" bestFit="1" customWidth="1"/>
    <col min="4110" max="4110" width="16.28515625" style="90" bestFit="1" customWidth="1"/>
    <col min="4111" max="4352" width="10.85546875" style="90"/>
    <col min="4353" max="4353" width="31.28515625" style="90" customWidth="1"/>
    <col min="4354" max="4365" width="13.28515625" style="90" bestFit="1" customWidth="1"/>
    <col min="4366" max="4366" width="16.28515625" style="90" bestFit="1" customWidth="1"/>
    <col min="4367" max="4608" width="10.85546875" style="90"/>
    <col min="4609" max="4609" width="31.28515625" style="90" customWidth="1"/>
    <col min="4610" max="4621" width="13.28515625" style="90" bestFit="1" customWidth="1"/>
    <col min="4622" max="4622" width="16.28515625" style="90" bestFit="1" customWidth="1"/>
    <col min="4623" max="4864" width="10.85546875" style="90"/>
    <col min="4865" max="4865" width="31.28515625" style="90" customWidth="1"/>
    <col min="4866" max="4877" width="13.28515625" style="90" bestFit="1" customWidth="1"/>
    <col min="4878" max="4878" width="16.28515625" style="90" bestFit="1" customWidth="1"/>
    <col min="4879" max="5120" width="10.85546875" style="90"/>
    <col min="5121" max="5121" width="31.28515625" style="90" customWidth="1"/>
    <col min="5122" max="5133" width="13.28515625" style="90" bestFit="1" customWidth="1"/>
    <col min="5134" max="5134" width="16.28515625" style="90" bestFit="1" customWidth="1"/>
    <col min="5135" max="5376" width="10.85546875" style="90"/>
    <col min="5377" max="5377" width="31.28515625" style="90" customWidth="1"/>
    <col min="5378" max="5389" width="13.28515625" style="90" bestFit="1" customWidth="1"/>
    <col min="5390" max="5390" width="16.28515625" style="90" bestFit="1" customWidth="1"/>
    <col min="5391" max="5632" width="10.85546875" style="90"/>
    <col min="5633" max="5633" width="31.28515625" style="90" customWidth="1"/>
    <col min="5634" max="5645" width="13.28515625" style="90" bestFit="1" customWidth="1"/>
    <col min="5646" max="5646" width="16.28515625" style="90" bestFit="1" customWidth="1"/>
    <col min="5647" max="5888" width="10.85546875" style="90"/>
    <col min="5889" max="5889" width="31.28515625" style="90" customWidth="1"/>
    <col min="5890" max="5901" width="13.28515625" style="90" bestFit="1" customWidth="1"/>
    <col min="5902" max="5902" width="16.28515625" style="90" bestFit="1" customWidth="1"/>
    <col min="5903" max="6144" width="10.85546875" style="90"/>
    <col min="6145" max="6145" width="31.28515625" style="90" customWidth="1"/>
    <col min="6146" max="6157" width="13.28515625" style="90" bestFit="1" customWidth="1"/>
    <col min="6158" max="6158" width="16.28515625" style="90" bestFit="1" customWidth="1"/>
    <col min="6159" max="6400" width="10.85546875" style="90"/>
    <col min="6401" max="6401" width="31.28515625" style="90" customWidth="1"/>
    <col min="6402" max="6413" width="13.28515625" style="90" bestFit="1" customWidth="1"/>
    <col min="6414" max="6414" width="16.28515625" style="90" bestFit="1" customWidth="1"/>
    <col min="6415" max="6656" width="10.85546875" style="90"/>
    <col min="6657" max="6657" width="31.28515625" style="90" customWidth="1"/>
    <col min="6658" max="6669" width="13.28515625" style="90" bestFit="1" customWidth="1"/>
    <col min="6670" max="6670" width="16.28515625" style="90" bestFit="1" customWidth="1"/>
    <col min="6671" max="6912" width="10.85546875" style="90"/>
    <col min="6913" max="6913" width="31.28515625" style="90" customWidth="1"/>
    <col min="6914" max="6925" width="13.28515625" style="90" bestFit="1" customWidth="1"/>
    <col min="6926" max="6926" width="16.28515625" style="90" bestFit="1" customWidth="1"/>
    <col min="6927" max="7168" width="10.85546875" style="90"/>
    <col min="7169" max="7169" width="31.28515625" style="90" customWidth="1"/>
    <col min="7170" max="7181" width="13.28515625" style="90" bestFit="1" customWidth="1"/>
    <col min="7182" max="7182" width="16.28515625" style="90" bestFit="1" customWidth="1"/>
    <col min="7183" max="7424" width="10.85546875" style="90"/>
    <col min="7425" max="7425" width="31.28515625" style="90" customWidth="1"/>
    <col min="7426" max="7437" width="13.28515625" style="90" bestFit="1" customWidth="1"/>
    <col min="7438" max="7438" width="16.28515625" style="90" bestFit="1" customWidth="1"/>
    <col min="7439" max="7680" width="10.85546875" style="90"/>
    <col min="7681" max="7681" width="31.28515625" style="90" customWidth="1"/>
    <col min="7682" max="7693" width="13.28515625" style="90" bestFit="1" customWidth="1"/>
    <col min="7694" max="7694" width="16.28515625" style="90" bestFit="1" customWidth="1"/>
    <col min="7695" max="7936" width="10.85546875" style="90"/>
    <col min="7937" max="7937" width="31.28515625" style="90" customWidth="1"/>
    <col min="7938" max="7949" width="13.28515625" style="90" bestFit="1" customWidth="1"/>
    <col min="7950" max="7950" width="16.28515625" style="90" bestFit="1" customWidth="1"/>
    <col min="7951" max="8192" width="10.85546875" style="90"/>
    <col min="8193" max="8193" width="31.28515625" style="90" customWidth="1"/>
    <col min="8194" max="8205" width="13.28515625" style="90" bestFit="1" customWidth="1"/>
    <col min="8206" max="8206" width="16.28515625" style="90" bestFit="1" customWidth="1"/>
    <col min="8207" max="8448" width="10.85546875" style="90"/>
    <col min="8449" max="8449" width="31.28515625" style="90" customWidth="1"/>
    <col min="8450" max="8461" width="13.28515625" style="90" bestFit="1" customWidth="1"/>
    <col min="8462" max="8462" width="16.28515625" style="90" bestFit="1" customWidth="1"/>
    <col min="8463" max="8704" width="10.85546875" style="90"/>
    <col min="8705" max="8705" width="31.28515625" style="90" customWidth="1"/>
    <col min="8706" max="8717" width="13.28515625" style="90" bestFit="1" customWidth="1"/>
    <col min="8718" max="8718" width="16.28515625" style="90" bestFit="1" customWidth="1"/>
    <col min="8719" max="8960" width="10.85546875" style="90"/>
    <col min="8961" max="8961" width="31.28515625" style="90" customWidth="1"/>
    <col min="8962" max="8973" width="13.28515625" style="90" bestFit="1" customWidth="1"/>
    <col min="8974" max="8974" width="16.28515625" style="90" bestFit="1" customWidth="1"/>
    <col min="8975" max="9216" width="10.85546875" style="90"/>
    <col min="9217" max="9217" width="31.28515625" style="90" customWidth="1"/>
    <col min="9218" max="9229" width="13.28515625" style="90" bestFit="1" customWidth="1"/>
    <col min="9230" max="9230" width="16.28515625" style="90" bestFit="1" customWidth="1"/>
    <col min="9231" max="9472" width="10.85546875" style="90"/>
    <col min="9473" max="9473" width="31.28515625" style="90" customWidth="1"/>
    <col min="9474" max="9485" width="13.28515625" style="90" bestFit="1" customWidth="1"/>
    <col min="9486" max="9486" width="16.28515625" style="90" bestFit="1" customWidth="1"/>
    <col min="9487" max="9728" width="10.85546875" style="90"/>
    <col min="9729" max="9729" width="31.28515625" style="90" customWidth="1"/>
    <col min="9730" max="9741" width="13.28515625" style="90" bestFit="1" customWidth="1"/>
    <col min="9742" max="9742" width="16.28515625" style="90" bestFit="1" customWidth="1"/>
    <col min="9743" max="9984" width="10.85546875" style="90"/>
    <col min="9985" max="9985" width="31.28515625" style="90" customWidth="1"/>
    <col min="9986" max="9997" width="13.28515625" style="90" bestFit="1" customWidth="1"/>
    <col min="9998" max="9998" width="16.28515625" style="90" bestFit="1" customWidth="1"/>
    <col min="9999" max="10240" width="10.85546875" style="90"/>
    <col min="10241" max="10241" width="31.28515625" style="90" customWidth="1"/>
    <col min="10242" max="10253" width="13.28515625" style="90" bestFit="1" customWidth="1"/>
    <col min="10254" max="10254" width="16.28515625" style="90" bestFit="1" customWidth="1"/>
    <col min="10255" max="10496" width="10.85546875" style="90"/>
    <col min="10497" max="10497" width="31.28515625" style="90" customWidth="1"/>
    <col min="10498" max="10509" width="13.28515625" style="90" bestFit="1" customWidth="1"/>
    <col min="10510" max="10510" width="16.28515625" style="90" bestFit="1" customWidth="1"/>
    <col min="10511" max="10752" width="10.85546875" style="90"/>
    <col min="10753" max="10753" width="31.28515625" style="90" customWidth="1"/>
    <col min="10754" max="10765" width="13.28515625" style="90" bestFit="1" customWidth="1"/>
    <col min="10766" max="10766" width="16.28515625" style="90" bestFit="1" customWidth="1"/>
    <col min="10767" max="11008" width="10.85546875" style="90"/>
    <col min="11009" max="11009" width="31.28515625" style="90" customWidth="1"/>
    <col min="11010" max="11021" width="13.28515625" style="90" bestFit="1" customWidth="1"/>
    <col min="11022" max="11022" width="16.28515625" style="90" bestFit="1" customWidth="1"/>
    <col min="11023" max="11264" width="10.85546875" style="90"/>
    <col min="11265" max="11265" width="31.28515625" style="90" customWidth="1"/>
    <col min="11266" max="11277" width="13.28515625" style="90" bestFit="1" customWidth="1"/>
    <col min="11278" max="11278" width="16.28515625" style="90" bestFit="1" customWidth="1"/>
    <col min="11279" max="11520" width="10.85546875" style="90"/>
    <col min="11521" max="11521" width="31.28515625" style="90" customWidth="1"/>
    <col min="11522" max="11533" width="13.28515625" style="90" bestFit="1" customWidth="1"/>
    <col min="11534" max="11534" width="16.28515625" style="90" bestFit="1" customWidth="1"/>
    <col min="11535" max="11776" width="10.85546875" style="90"/>
    <col min="11777" max="11777" width="31.28515625" style="90" customWidth="1"/>
    <col min="11778" max="11789" width="13.28515625" style="90" bestFit="1" customWidth="1"/>
    <col min="11790" max="11790" width="16.28515625" style="90" bestFit="1" customWidth="1"/>
    <col min="11791" max="12032" width="10.85546875" style="90"/>
    <col min="12033" max="12033" width="31.28515625" style="90" customWidth="1"/>
    <col min="12034" max="12045" width="13.28515625" style="90" bestFit="1" customWidth="1"/>
    <col min="12046" max="12046" width="16.28515625" style="90" bestFit="1" customWidth="1"/>
    <col min="12047" max="12288" width="10.85546875" style="90"/>
    <col min="12289" max="12289" width="31.28515625" style="90" customWidth="1"/>
    <col min="12290" max="12301" width="13.28515625" style="90" bestFit="1" customWidth="1"/>
    <col min="12302" max="12302" width="16.28515625" style="90" bestFit="1" customWidth="1"/>
    <col min="12303" max="12544" width="10.85546875" style="90"/>
    <col min="12545" max="12545" width="31.28515625" style="90" customWidth="1"/>
    <col min="12546" max="12557" width="13.28515625" style="90" bestFit="1" customWidth="1"/>
    <col min="12558" max="12558" width="16.28515625" style="90" bestFit="1" customWidth="1"/>
    <col min="12559" max="12800" width="10.85546875" style="90"/>
    <col min="12801" max="12801" width="31.28515625" style="90" customWidth="1"/>
    <col min="12802" max="12813" width="13.28515625" style="90" bestFit="1" customWidth="1"/>
    <col min="12814" max="12814" width="16.28515625" style="90" bestFit="1" customWidth="1"/>
    <col min="12815" max="13056" width="10.85546875" style="90"/>
    <col min="13057" max="13057" width="31.28515625" style="90" customWidth="1"/>
    <col min="13058" max="13069" width="13.28515625" style="90" bestFit="1" customWidth="1"/>
    <col min="13070" max="13070" width="16.28515625" style="90" bestFit="1" customWidth="1"/>
    <col min="13071" max="13312" width="10.85546875" style="90"/>
    <col min="13313" max="13313" width="31.28515625" style="90" customWidth="1"/>
    <col min="13314" max="13325" width="13.28515625" style="90" bestFit="1" customWidth="1"/>
    <col min="13326" max="13326" width="16.28515625" style="90" bestFit="1" customWidth="1"/>
    <col min="13327" max="13568" width="10.85546875" style="90"/>
    <col min="13569" max="13569" width="31.28515625" style="90" customWidth="1"/>
    <col min="13570" max="13581" width="13.28515625" style="90" bestFit="1" customWidth="1"/>
    <col min="13582" max="13582" width="16.28515625" style="90" bestFit="1" customWidth="1"/>
    <col min="13583" max="13824" width="10.85546875" style="90"/>
    <col min="13825" max="13825" width="31.28515625" style="90" customWidth="1"/>
    <col min="13826" max="13837" width="13.28515625" style="90" bestFit="1" customWidth="1"/>
    <col min="13838" max="13838" width="16.28515625" style="90" bestFit="1" customWidth="1"/>
    <col min="13839" max="14080" width="10.85546875" style="90"/>
    <col min="14081" max="14081" width="31.28515625" style="90" customWidth="1"/>
    <col min="14082" max="14093" width="13.28515625" style="90" bestFit="1" customWidth="1"/>
    <col min="14094" max="14094" width="16.28515625" style="90" bestFit="1" customWidth="1"/>
    <col min="14095" max="14336" width="10.85546875" style="90"/>
    <col min="14337" max="14337" width="31.28515625" style="90" customWidth="1"/>
    <col min="14338" max="14349" width="13.28515625" style="90" bestFit="1" customWidth="1"/>
    <col min="14350" max="14350" width="16.28515625" style="90" bestFit="1" customWidth="1"/>
    <col min="14351" max="14592" width="10.85546875" style="90"/>
    <col min="14593" max="14593" width="31.28515625" style="90" customWidth="1"/>
    <col min="14594" max="14605" width="13.28515625" style="90" bestFit="1" customWidth="1"/>
    <col min="14606" max="14606" width="16.28515625" style="90" bestFit="1" customWidth="1"/>
    <col min="14607" max="14848" width="10.85546875" style="90"/>
    <col min="14849" max="14849" width="31.28515625" style="90" customWidth="1"/>
    <col min="14850" max="14861" width="13.28515625" style="90" bestFit="1" customWidth="1"/>
    <col min="14862" max="14862" width="16.28515625" style="90" bestFit="1" customWidth="1"/>
    <col min="14863" max="15104" width="10.85546875" style="90"/>
    <col min="15105" max="15105" width="31.28515625" style="90" customWidth="1"/>
    <col min="15106" max="15117" width="13.28515625" style="90" bestFit="1" customWidth="1"/>
    <col min="15118" max="15118" width="16.28515625" style="90" bestFit="1" customWidth="1"/>
    <col min="15119" max="15360" width="10.85546875" style="90"/>
    <col min="15361" max="15361" width="31.28515625" style="90" customWidth="1"/>
    <col min="15362" max="15373" width="13.28515625" style="90" bestFit="1" customWidth="1"/>
    <col min="15374" max="15374" width="16.28515625" style="90" bestFit="1" customWidth="1"/>
    <col min="15375" max="15616" width="10.85546875" style="90"/>
    <col min="15617" max="15617" width="31.28515625" style="90" customWidth="1"/>
    <col min="15618" max="15629" width="13.28515625" style="90" bestFit="1" customWidth="1"/>
    <col min="15630" max="15630" width="16.28515625" style="90" bestFit="1" customWidth="1"/>
    <col min="15631" max="15872" width="10.85546875" style="90"/>
    <col min="15873" max="15873" width="31.28515625" style="90" customWidth="1"/>
    <col min="15874" max="15885" width="13.28515625" style="90" bestFit="1" customWidth="1"/>
    <col min="15886" max="15886" width="16.28515625" style="90" bestFit="1" customWidth="1"/>
    <col min="15887" max="16128" width="10.85546875" style="90"/>
    <col min="16129" max="16129" width="31.28515625" style="90" customWidth="1"/>
    <col min="16130" max="16141" width="13.28515625" style="90" bestFit="1" customWidth="1"/>
    <col min="16142" max="16142" width="16.28515625" style="90" bestFit="1" customWidth="1"/>
    <col min="16143" max="16384" width="10.85546875" style="90"/>
  </cols>
  <sheetData>
    <row r="1" spans="1:17" s="126" customFormat="1" x14ac:dyDescent="0.2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3"/>
    </row>
    <row r="2" spans="1:17" s="126" customFormat="1" x14ac:dyDescent="0.2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3"/>
    </row>
    <row r="3" spans="1:17" s="126" customFormat="1" x14ac:dyDescent="0.2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3"/>
    </row>
    <row r="4" spans="1:17" s="173" customFormat="1" ht="20.25" x14ac:dyDescent="0.3">
      <c r="A4" s="1823" t="s">
        <v>223</v>
      </c>
      <c r="B4" s="1823"/>
      <c r="C4" s="1823"/>
      <c r="D4" s="1823"/>
      <c r="E4" s="1823"/>
      <c r="F4" s="1823"/>
      <c r="G4" s="1823"/>
      <c r="H4" s="1823"/>
      <c r="I4" s="1823"/>
      <c r="J4" s="1823"/>
      <c r="K4" s="1823"/>
      <c r="L4" s="1823"/>
      <c r="M4" s="1823"/>
      <c r="N4" s="1823"/>
    </row>
    <row r="5" spans="1:17" s="126" customFormat="1" x14ac:dyDescent="0.2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176" t="s">
        <v>189</v>
      </c>
      <c r="O5" s="233"/>
    </row>
    <row r="6" spans="1:17" s="126" customFormat="1" ht="13.5" thickBot="1" x14ac:dyDescent="0.25">
      <c r="A6" s="239"/>
      <c r="B6" s="240" t="s">
        <v>191</v>
      </c>
      <c r="C6" s="240" t="s">
        <v>192</v>
      </c>
      <c r="D6" s="240" t="s">
        <v>193</v>
      </c>
      <c r="E6" s="240" t="s">
        <v>194</v>
      </c>
      <c r="F6" s="240" t="s">
        <v>195</v>
      </c>
      <c r="G6" s="240" t="s">
        <v>196</v>
      </c>
      <c r="H6" s="240" t="s">
        <v>203</v>
      </c>
      <c r="I6" s="240" t="s">
        <v>204</v>
      </c>
      <c r="J6" s="240" t="s">
        <v>197</v>
      </c>
      <c r="K6" s="240" t="s">
        <v>198</v>
      </c>
      <c r="L6" s="240" t="s">
        <v>199</v>
      </c>
      <c r="M6" s="240" t="s">
        <v>200</v>
      </c>
      <c r="N6" s="240" t="s">
        <v>187</v>
      </c>
      <c r="O6" s="233"/>
    </row>
    <row r="7" spans="1:17" s="126" customFormat="1" ht="13.5" thickBot="1" x14ac:dyDescent="0.25">
      <c r="A7" s="241" t="s">
        <v>1091</v>
      </c>
      <c r="B7" s="242">
        <f>DATOS!C$3/DATOS!C$22</f>
        <v>11923.011500000001</v>
      </c>
      <c r="C7" s="242">
        <f>DATOS!E$3/DATOS!E$22</f>
        <v>10758.509</v>
      </c>
      <c r="D7" s="242">
        <f>DATOS!G$3/DATOS!G$22</f>
        <v>11360.62</v>
      </c>
      <c r="E7" s="242">
        <f>DATOS!I$3/DATOS!I$22</f>
        <v>10696.502</v>
      </c>
      <c r="F7" s="242">
        <f>DATOS!K$3/DATOS!K$22</f>
        <v>12451.4845</v>
      </c>
      <c r="G7" s="242">
        <f>DATOS!M$3/DATOS!M$22</f>
        <v>13642.20409090909</v>
      </c>
      <c r="H7" s="242">
        <f>DATOS!O$3/DATOS!O$22</f>
        <v>14317.46652173913</v>
      </c>
      <c r="I7" s="242">
        <f>DATOS!Q$3/DATOS!Q$22</f>
        <v>3178.7468421052631</v>
      </c>
      <c r="J7" s="242">
        <f>DATOS!S$3/DATOS!S$22</f>
        <v>12986.352727272728</v>
      </c>
      <c r="K7" s="242">
        <f>DATOS!U$3/DATOS!U$22</f>
        <v>13032.835714285713</v>
      </c>
      <c r="L7" s="242">
        <f>DATOS!W$3/DATOS!W$22</f>
        <v>12452.5705</v>
      </c>
      <c r="M7" s="242">
        <f>DATOS!Y$3/DATOS!Y$22</f>
        <v>5392.5557142857142</v>
      </c>
      <c r="N7" s="243">
        <f>AVERAGE(B7:M7)</f>
        <v>11016.071592549803</v>
      </c>
      <c r="O7" s="233"/>
      <c r="P7" s="222"/>
      <c r="Q7" s="222"/>
    </row>
    <row r="8" spans="1:17" s="126" customFormat="1" ht="13.5" thickBot="1" x14ac:dyDescent="0.25">
      <c r="A8" s="1447" t="s">
        <v>1092</v>
      </c>
      <c r="B8" s="1448">
        <v>10793.39</v>
      </c>
      <c r="C8" s="1448">
        <v>9777.16</v>
      </c>
      <c r="D8" s="1448">
        <v>10712.04</v>
      </c>
      <c r="E8" s="1448">
        <v>9514.9500000000007</v>
      </c>
      <c r="F8" s="1448">
        <v>9791.14</v>
      </c>
      <c r="G8" s="1448">
        <v>12827.59</v>
      </c>
      <c r="H8" s="1448">
        <v>12125.75</v>
      </c>
      <c r="I8" s="1448">
        <v>5734.98</v>
      </c>
      <c r="J8" s="1448">
        <v>12579.59</v>
      </c>
      <c r="K8" s="1448">
        <v>11500.77</v>
      </c>
      <c r="L8" s="1448">
        <v>12583.94</v>
      </c>
      <c r="M8" s="1448">
        <v>6956.2</v>
      </c>
      <c r="N8" s="243">
        <f t="shared" ref="N8:N9" si="0">AVERAGE(B8:M8)</f>
        <v>10408.125</v>
      </c>
      <c r="O8" s="233"/>
      <c r="P8" s="222"/>
      <c r="Q8" s="222"/>
    </row>
    <row r="9" spans="1:17" s="126" customFormat="1" ht="13.5" thickBot="1" x14ac:dyDescent="0.25">
      <c r="A9" s="1447" t="s">
        <v>844</v>
      </c>
      <c r="B9" s="1448">
        <v>7232.72</v>
      </c>
      <c r="C9" s="1448">
        <v>6764.9</v>
      </c>
      <c r="D9" s="1448">
        <v>7014.3</v>
      </c>
      <c r="E9" s="1448">
        <v>7446.96</v>
      </c>
      <c r="F9" s="1448">
        <v>7150.74</v>
      </c>
      <c r="G9" s="1448">
        <v>7291.26</v>
      </c>
      <c r="H9" s="1448">
        <v>8383.82</v>
      </c>
      <c r="I9" s="1448">
        <v>4914.6499999999996</v>
      </c>
      <c r="J9" s="1448">
        <v>9424.5400000000009</v>
      </c>
      <c r="K9" s="1448">
        <v>8292.64</v>
      </c>
      <c r="L9" s="1448">
        <v>8284.5</v>
      </c>
      <c r="M9" s="1448">
        <v>5503.19</v>
      </c>
      <c r="N9" s="243">
        <f t="shared" si="0"/>
        <v>7308.6850000000004</v>
      </c>
      <c r="O9" s="233"/>
      <c r="P9" s="222"/>
      <c r="Q9" s="222"/>
    </row>
    <row r="10" spans="1:17" s="126" customFormat="1" ht="13.5" thickBot="1" x14ac:dyDescent="0.25">
      <c r="A10" s="241" t="s">
        <v>811</v>
      </c>
      <c r="B10" s="242">
        <v>9956.5400000000009</v>
      </c>
      <c r="C10" s="242">
        <v>10332.19</v>
      </c>
      <c r="D10" s="242">
        <v>9349.7099999999991</v>
      </c>
      <c r="E10" s="242">
        <v>8351.49</v>
      </c>
      <c r="F10" s="242">
        <v>8501.31</v>
      </c>
      <c r="G10" s="242">
        <v>9083.19</v>
      </c>
      <c r="H10" s="242">
        <v>9093.0499999999993</v>
      </c>
      <c r="I10" s="242">
        <v>7678.64</v>
      </c>
      <c r="J10" s="242">
        <v>6550.3</v>
      </c>
      <c r="K10" s="242">
        <v>5944.94</v>
      </c>
      <c r="L10" s="242">
        <v>6727.59</v>
      </c>
      <c r="M10" s="242">
        <v>5067.12</v>
      </c>
      <c r="N10" s="243">
        <f>AVERAGE(B10:M10)</f>
        <v>8053.0058333333327</v>
      </c>
      <c r="O10" s="233"/>
      <c r="P10" s="222"/>
      <c r="Q10" s="222"/>
    </row>
    <row r="11" spans="1:17" s="126" customFormat="1" ht="13.5" thickBot="1" x14ac:dyDescent="0.25">
      <c r="A11" s="241" t="s">
        <v>812</v>
      </c>
      <c r="B11" s="1212">
        <v>5889.52</v>
      </c>
      <c r="C11" s="1212">
        <v>4971.18</v>
      </c>
      <c r="D11" s="1212">
        <v>5730.19</v>
      </c>
      <c r="E11" s="1212">
        <v>5100.84</v>
      </c>
      <c r="F11" s="1212">
        <v>4551.03</v>
      </c>
      <c r="G11" s="1212">
        <v>4720.26</v>
      </c>
      <c r="H11" s="1212">
        <v>7435.99</v>
      </c>
      <c r="I11" s="1212">
        <v>5464.18</v>
      </c>
      <c r="J11" s="1212">
        <v>6116.26</v>
      </c>
      <c r="K11" s="1212">
        <v>6991.68</v>
      </c>
      <c r="L11" s="1212">
        <v>7811.65</v>
      </c>
      <c r="M11" s="1212">
        <v>14812.35</v>
      </c>
      <c r="N11" s="243">
        <f>AVERAGE(B11:M11)</f>
        <v>6632.9275000000007</v>
      </c>
      <c r="O11" s="233"/>
      <c r="P11" s="222"/>
      <c r="Q11" s="222"/>
    </row>
    <row r="12" spans="1:17" s="126" customFormat="1" ht="13.5" thickBot="1" x14ac:dyDescent="0.25">
      <c r="A12" s="241" t="s">
        <v>675</v>
      </c>
      <c r="B12" s="242">
        <f>[1]DATOS!C$2/[1]DATOS!C$20</f>
        <v>5645.8733333333357</v>
      </c>
      <c r="C12" s="242">
        <f>[1]DATOS!D$2/[1]DATOS!D$20</f>
        <v>5305.2955000000011</v>
      </c>
      <c r="D12" s="242">
        <f>[1]DATOS!E$2/[1]DATOS!E$20</f>
        <v>5792.7473684210518</v>
      </c>
      <c r="E12" s="242">
        <f>[1]DATOS!F$2/[1]DATOS!F$20</f>
        <v>6247.7710000000015</v>
      </c>
      <c r="F12" s="242">
        <f>[1]DATOS!G$2/[1]DATOS!G$20</f>
        <v>5971.318571428571</v>
      </c>
      <c r="G12" s="242">
        <f>[1]DATOS!H$2/[1]DATOS!H$20</f>
        <v>6322.3113636363651</v>
      </c>
      <c r="H12" s="242">
        <f>[1]DATOS!I$2/[1]DATOS!I$20</f>
        <v>5923.4595454545452</v>
      </c>
      <c r="I12" s="242">
        <f>[1]DATOS!J$2/[1]DATOS!J$20</f>
        <v>3466.018333333333</v>
      </c>
      <c r="J12" s="242">
        <f>[1]DATOS!K$2/[1]DATOS!K$20</f>
        <v>5277.7972727272718</v>
      </c>
      <c r="K12" s="242">
        <f>[1]DATOS!L$2/[1]DATOS!L$20</f>
        <v>6141.9214999999986</v>
      </c>
      <c r="L12" s="242">
        <f>[1]DATOS!M$2/[1]DATOS!M$20</f>
        <v>6219.2657142857142</v>
      </c>
      <c r="M12" s="242">
        <f>[1]DATOS!N$2/[1]DATOS!N$20</f>
        <v>5767.256428571427</v>
      </c>
      <c r="N12" s="243">
        <f>AVERAGE(B12:M12)</f>
        <v>5673.4196609326355</v>
      </c>
      <c r="O12" s="233"/>
      <c r="P12" s="222"/>
      <c r="Q12" s="222"/>
    </row>
    <row r="13" spans="1:17" s="126" customFormat="1" ht="13.5" thickBot="1" x14ac:dyDescent="0.25">
      <c r="A13" s="241" t="s">
        <v>636</v>
      </c>
      <c r="B13" s="973">
        <v>5024.25</v>
      </c>
      <c r="C13" s="973">
        <v>4679.26</v>
      </c>
      <c r="D13" s="973">
        <v>3155.19</v>
      </c>
      <c r="E13" s="973">
        <v>4804.24</v>
      </c>
      <c r="F13" s="973">
        <v>4171.75</v>
      </c>
      <c r="G13" s="973">
        <v>3778.87</v>
      </c>
      <c r="H13" s="973">
        <v>5880.57</v>
      </c>
      <c r="I13" s="973">
        <v>1003.95</v>
      </c>
      <c r="J13" s="973">
        <v>4536.92</v>
      </c>
      <c r="K13" s="973">
        <v>5799.02</v>
      </c>
      <c r="L13" s="973">
        <v>4960.3900000000003</v>
      </c>
      <c r="M13" s="973">
        <v>4374.29</v>
      </c>
      <c r="N13" s="243">
        <f>AVERAGE(B13:M13)</f>
        <v>4347.3916666666673</v>
      </c>
      <c r="O13" s="233"/>
      <c r="P13" s="222"/>
      <c r="Q13" s="222"/>
    </row>
    <row r="14" spans="1:17" s="174" customFormat="1" ht="13.5" thickBot="1" x14ac:dyDescent="0.25">
      <c r="A14" s="244" t="s">
        <v>224</v>
      </c>
      <c r="B14" s="245">
        <v>10433.629999999999</v>
      </c>
      <c r="C14" s="246">
        <v>11908.99</v>
      </c>
      <c r="D14" s="246">
        <v>11434.89</v>
      </c>
      <c r="E14" s="246">
        <v>10685.55</v>
      </c>
      <c r="F14" s="246">
        <v>12290.16</v>
      </c>
      <c r="G14" s="246">
        <v>9235.7900000000009</v>
      </c>
      <c r="H14" s="246">
        <v>9574.92</v>
      </c>
      <c r="I14" s="246">
        <v>2993.38</v>
      </c>
      <c r="J14" s="246">
        <v>10414.56</v>
      </c>
      <c r="K14" s="246">
        <v>8904.4500000000007</v>
      </c>
      <c r="L14" s="246">
        <v>7181.05</v>
      </c>
      <c r="M14" s="247">
        <v>5204.45</v>
      </c>
      <c r="N14" s="248">
        <f>AVERAGE($B14:$M14)</f>
        <v>9188.4850000000006</v>
      </c>
    </row>
    <row r="15" spans="1:17" s="174" customFormat="1" ht="13.5" thickBot="1" x14ac:dyDescent="0.25">
      <c r="A15" s="249" t="s">
        <v>1093</v>
      </c>
      <c r="B15" s="250">
        <f>DATOS!D4/DATOS!D22</f>
        <v>0</v>
      </c>
      <c r="C15" s="250">
        <f>DATOS!F4/DATOS!F22</f>
        <v>0</v>
      </c>
      <c r="D15" s="250">
        <f>DATOS!H4/DATOS!H22</f>
        <v>0</v>
      </c>
      <c r="E15" s="250">
        <f>DATOS!J4/DATOS!J22</f>
        <v>0</v>
      </c>
      <c r="F15" s="250">
        <f>DATOS!L4/DATOS!L22</f>
        <v>0</v>
      </c>
      <c r="G15" s="250">
        <f>DATOS!N4/DATOS!N22</f>
        <v>0</v>
      </c>
      <c r="H15" s="250">
        <f>DATOS!P4/DATOS!P22</f>
        <v>0</v>
      </c>
      <c r="I15" s="250">
        <f>DATOS!R4/DATOS!R22</f>
        <v>0</v>
      </c>
      <c r="J15" s="250">
        <f>DATOS!T$4/DATOS!T$22</f>
        <v>0</v>
      </c>
      <c r="K15" s="250">
        <f>DATOS!V$4/DATOS!V$22</f>
        <v>0</v>
      </c>
      <c r="L15" s="250">
        <f>DATOS!X$4/DATOS!X$22</f>
        <v>0</v>
      </c>
      <c r="M15" s="250">
        <f>DATOS!Z$4/DATOS!Z$22</f>
        <v>0</v>
      </c>
      <c r="N15" s="248">
        <f>AVERAGE($B15:$M15)</f>
        <v>0</v>
      </c>
    </row>
    <row r="16" spans="1:17" s="173" customFormat="1" x14ac:dyDescent="0.2">
      <c r="A16" s="126"/>
      <c r="B16" s="174"/>
      <c r="C16" s="174"/>
      <c r="D16" s="174"/>
      <c r="E16" s="174"/>
      <c r="F16" s="174"/>
      <c r="G16" s="174"/>
      <c r="H16" s="174"/>
      <c r="I16" s="251"/>
      <c r="J16" s="174"/>
      <c r="K16" s="174"/>
      <c r="L16" s="174"/>
      <c r="M16" s="174"/>
      <c r="O16" s="222"/>
    </row>
    <row r="17" spans="1:9" s="173" customFormat="1" x14ac:dyDescent="0.2">
      <c r="A17" s="126"/>
      <c r="B17" s="252"/>
      <c r="D17" s="174"/>
      <c r="E17" s="174"/>
      <c r="F17" s="174"/>
      <c r="I17" s="251"/>
    </row>
    <row r="18" spans="1:9" s="173" customFormat="1" ht="15.75" x14ac:dyDescent="0.25">
      <c r="A18" s="253" t="s">
        <v>637</v>
      </c>
      <c r="B18" s="551">
        <f>SUM(N14)</f>
        <v>9188.4850000000006</v>
      </c>
      <c r="C18" s="254" t="s">
        <v>225</v>
      </c>
      <c r="D18" s="255"/>
      <c r="E18" s="174"/>
      <c r="F18" s="174"/>
      <c r="I18" s="251"/>
    </row>
    <row r="19" spans="1:9" s="173" customFormat="1" ht="15" x14ac:dyDescent="0.25">
      <c r="A19" s="256"/>
      <c r="B19" s="551"/>
      <c r="C19" s="258"/>
      <c r="D19" s="255"/>
      <c r="E19" s="174"/>
      <c r="F19" s="174"/>
      <c r="I19" s="251"/>
    </row>
    <row r="20" spans="1:9" s="173" customFormat="1" ht="15.75" x14ac:dyDescent="0.25">
      <c r="A20" s="253" t="s">
        <v>676</v>
      </c>
      <c r="B20" s="551">
        <f>SUM(N13)</f>
        <v>4347.3916666666673</v>
      </c>
      <c r="C20" s="254" t="s">
        <v>225</v>
      </c>
      <c r="D20" s="255"/>
      <c r="E20" s="174"/>
      <c r="F20" s="174"/>
      <c r="I20" s="251"/>
    </row>
    <row r="21" spans="1:9" s="173" customFormat="1" ht="15" x14ac:dyDescent="0.25">
      <c r="A21" s="256"/>
      <c r="B21" s="551"/>
      <c r="C21" s="258"/>
      <c r="D21" s="255"/>
      <c r="E21" s="174"/>
      <c r="F21" s="174"/>
      <c r="I21" s="251"/>
    </row>
    <row r="22" spans="1:9" s="173" customFormat="1" ht="15.75" x14ac:dyDescent="0.25">
      <c r="A22" s="253" t="s">
        <v>681</v>
      </c>
      <c r="B22" s="551">
        <f>SUM(N12)</f>
        <v>5673.4196609326355</v>
      </c>
      <c r="C22" s="254" t="s">
        <v>225</v>
      </c>
      <c r="D22" s="255"/>
      <c r="E22" s="174"/>
      <c r="F22" s="174"/>
      <c r="I22" s="251"/>
    </row>
    <row r="23" spans="1:9" s="173" customFormat="1" ht="15.75" x14ac:dyDescent="0.25">
      <c r="A23" s="253"/>
      <c r="B23" s="551"/>
      <c r="C23" s="254"/>
      <c r="D23" s="255"/>
      <c r="E23" s="174"/>
      <c r="F23" s="174"/>
      <c r="I23" s="251"/>
    </row>
    <row r="24" spans="1:9" s="173" customFormat="1" ht="15.75" x14ac:dyDescent="0.25">
      <c r="A24" s="253" t="s">
        <v>912</v>
      </c>
      <c r="B24" s="551">
        <f>SUM(N11)</f>
        <v>6632.9275000000007</v>
      </c>
      <c r="C24" s="254" t="s">
        <v>225</v>
      </c>
      <c r="D24" s="255"/>
      <c r="E24" s="174"/>
      <c r="F24" s="174"/>
      <c r="I24" s="251"/>
    </row>
    <row r="25" spans="1:9" s="173" customFormat="1" ht="15.75" x14ac:dyDescent="0.25">
      <c r="A25" s="253"/>
      <c r="B25" s="551"/>
      <c r="C25" s="254"/>
      <c r="D25" s="255"/>
      <c r="E25" s="174"/>
      <c r="F25" s="174"/>
      <c r="I25" s="251"/>
    </row>
    <row r="26" spans="1:9" s="173" customFormat="1" ht="15.75" x14ac:dyDescent="0.25">
      <c r="A26" s="253" t="s">
        <v>913</v>
      </c>
      <c r="B26" s="551">
        <f>SUM(N10)</f>
        <v>8053.0058333333327</v>
      </c>
      <c r="C26" s="254" t="s">
        <v>225</v>
      </c>
      <c r="D26" s="255"/>
      <c r="E26" s="174"/>
      <c r="F26" s="174"/>
      <c r="I26" s="251"/>
    </row>
    <row r="27" spans="1:9" s="173" customFormat="1" ht="15.75" x14ac:dyDescent="0.25">
      <c r="A27" s="253"/>
      <c r="B27" s="551"/>
      <c r="C27" s="254"/>
      <c r="D27" s="255"/>
      <c r="E27" s="174"/>
      <c r="F27" s="174"/>
      <c r="I27" s="251"/>
    </row>
    <row r="28" spans="1:9" s="173" customFormat="1" ht="15.75" x14ac:dyDescent="0.25">
      <c r="A28" s="253" t="s">
        <v>914</v>
      </c>
      <c r="B28" s="551">
        <f>N9</f>
        <v>7308.6850000000004</v>
      </c>
      <c r="C28" s="254" t="s">
        <v>225</v>
      </c>
      <c r="D28" s="255"/>
      <c r="E28" s="174"/>
      <c r="F28" s="174"/>
      <c r="I28" s="251"/>
    </row>
    <row r="29" spans="1:9" s="173" customFormat="1" ht="15.75" x14ac:dyDescent="0.25">
      <c r="A29" s="253"/>
      <c r="B29" s="551"/>
      <c r="C29" s="254"/>
      <c r="D29" s="255"/>
      <c r="E29" s="174"/>
      <c r="F29" s="174"/>
      <c r="I29" s="251"/>
    </row>
    <row r="30" spans="1:9" s="173" customFormat="1" ht="15.75" x14ac:dyDescent="0.25">
      <c r="A30" s="253" t="s">
        <v>1094</v>
      </c>
      <c r="B30" s="551">
        <f>N8</f>
        <v>10408.125</v>
      </c>
      <c r="C30" s="254" t="s">
        <v>225</v>
      </c>
      <c r="D30" s="255"/>
      <c r="E30" s="174"/>
      <c r="F30" s="174"/>
      <c r="I30" s="251"/>
    </row>
    <row r="31" spans="1:9" s="173" customFormat="1" ht="15.75" x14ac:dyDescent="0.25">
      <c r="A31" s="253"/>
      <c r="B31" s="551"/>
      <c r="C31" s="258"/>
      <c r="D31" s="255"/>
      <c r="E31" s="174"/>
      <c r="F31" s="174"/>
      <c r="I31" s="251"/>
    </row>
    <row r="32" spans="1:9" s="173" customFormat="1" ht="15.75" x14ac:dyDescent="0.25">
      <c r="A32" s="253" t="s">
        <v>1095</v>
      </c>
      <c r="B32" s="551">
        <f>SUM(N7)</f>
        <v>11016.071592549803</v>
      </c>
      <c r="C32" s="254" t="s">
        <v>225</v>
      </c>
      <c r="D32" s="255"/>
      <c r="E32" s="174"/>
      <c r="F32" s="174"/>
      <c r="I32" s="251"/>
    </row>
    <row r="33" spans="1:9" s="173" customFormat="1" ht="15.75" x14ac:dyDescent="0.25">
      <c r="A33" s="253"/>
      <c r="B33" s="257"/>
      <c r="C33" s="258"/>
      <c r="D33" s="255"/>
      <c r="E33" s="174"/>
      <c r="F33" s="174"/>
      <c r="I33" s="251"/>
    </row>
    <row r="34" spans="1:9" s="173" customFormat="1" ht="15.75" x14ac:dyDescent="0.25">
      <c r="A34" s="253" t="s">
        <v>1096</v>
      </c>
      <c r="B34" s="551">
        <f>SUM(N15)</f>
        <v>0</v>
      </c>
      <c r="C34" s="254" t="s">
        <v>225</v>
      </c>
      <c r="D34" s="255"/>
      <c r="E34" s="174"/>
      <c r="F34" s="174"/>
      <c r="I34" s="251"/>
    </row>
    <row r="35" spans="1:9" s="173" customFormat="1" ht="14.25" x14ac:dyDescent="0.2">
      <c r="A35" s="256"/>
      <c r="B35" s="259"/>
      <c r="C35" s="258"/>
      <c r="D35" s="255"/>
      <c r="E35" s="174"/>
      <c r="F35" s="205"/>
      <c r="I35" s="251"/>
    </row>
    <row r="36" spans="1:9" s="173" customFormat="1" ht="15.75" x14ac:dyDescent="0.25">
      <c r="A36" s="253" t="s">
        <v>1097</v>
      </c>
      <c r="B36" s="551">
        <f>SUM(N10)</f>
        <v>8053.0058333333327</v>
      </c>
      <c r="C36" s="254" t="s">
        <v>225</v>
      </c>
      <c r="D36" s="255"/>
      <c r="E36" s="174"/>
      <c r="F36" s="174"/>
      <c r="I36" s="251"/>
    </row>
    <row r="37" spans="1:9" s="173" customFormat="1" x14ac:dyDescent="0.2">
      <c r="A37" s="237"/>
      <c r="B37" s="204"/>
      <c r="C37" s="204"/>
      <c r="D37" s="205"/>
      <c r="E37" s="174"/>
      <c r="F37" s="174"/>
      <c r="I37" s="251"/>
    </row>
    <row r="38" spans="1:9" s="173" customFormat="1" x14ac:dyDescent="0.2">
      <c r="A38" s="126"/>
      <c r="D38" s="174"/>
      <c r="E38" s="174"/>
      <c r="F38" s="174"/>
      <c r="I38" s="251"/>
    </row>
    <row r="39" spans="1:9" s="173" customFormat="1" x14ac:dyDescent="0.2">
      <c r="A39" s="126"/>
      <c r="D39" s="174"/>
      <c r="E39" s="174"/>
      <c r="F39" s="174"/>
      <c r="I39" s="251"/>
    </row>
    <row r="40" spans="1:9" s="173" customFormat="1" x14ac:dyDescent="0.2">
      <c r="A40" s="126"/>
      <c r="D40" s="174"/>
      <c r="E40" s="174"/>
      <c r="F40" s="174"/>
      <c r="I40" s="251"/>
    </row>
    <row r="41" spans="1:9" s="173" customFormat="1" x14ac:dyDescent="0.2">
      <c r="A41" s="126"/>
      <c r="D41" s="174"/>
      <c r="E41" s="174"/>
      <c r="F41" s="174"/>
      <c r="I41" s="251"/>
    </row>
    <row r="42" spans="1:9" s="173" customFormat="1" x14ac:dyDescent="0.2">
      <c r="A42" s="126"/>
      <c r="D42" s="174"/>
      <c r="E42" s="174"/>
      <c r="F42" s="174"/>
      <c r="I42" s="251"/>
    </row>
    <row r="43" spans="1:9" s="173" customFormat="1" x14ac:dyDescent="0.2">
      <c r="A43" s="126"/>
      <c r="D43" s="174"/>
      <c r="E43" s="174"/>
      <c r="F43" s="174"/>
      <c r="I43" s="251"/>
    </row>
    <row r="44" spans="1:9" s="173" customFormat="1" x14ac:dyDescent="0.2">
      <c r="A44" s="126"/>
      <c r="D44" s="174"/>
      <c r="E44" s="174"/>
      <c r="F44" s="174"/>
      <c r="I44" s="251"/>
    </row>
    <row r="45" spans="1:9" s="173" customFormat="1" x14ac:dyDescent="0.2">
      <c r="A45" s="126"/>
      <c r="D45" s="174"/>
      <c r="E45" s="174"/>
      <c r="F45" s="174"/>
      <c r="I45" s="251"/>
    </row>
    <row r="46" spans="1:9" s="173" customFormat="1" x14ac:dyDescent="0.2">
      <c r="A46" s="126"/>
      <c r="D46" s="174"/>
      <c r="E46" s="174"/>
      <c r="F46" s="174"/>
      <c r="I46" s="251"/>
    </row>
    <row r="47" spans="1:9" s="173" customFormat="1" x14ac:dyDescent="0.2">
      <c r="A47" s="126"/>
      <c r="D47" s="174"/>
      <c r="E47" s="174"/>
      <c r="F47" s="174"/>
      <c r="I47" s="251"/>
    </row>
    <row r="48" spans="1:9" s="173" customFormat="1" x14ac:dyDescent="0.2">
      <c r="A48" s="126"/>
      <c r="D48" s="174"/>
      <c r="E48" s="174"/>
      <c r="F48" s="174"/>
      <c r="I48" s="251"/>
    </row>
    <row r="49" spans="1:13" s="173" customFormat="1" x14ac:dyDescent="0.2">
      <c r="A49" s="126"/>
      <c r="D49" s="174"/>
      <c r="E49" s="174"/>
      <c r="F49" s="174"/>
      <c r="I49" s="251"/>
    </row>
    <row r="50" spans="1:13" s="173" customFormat="1" x14ac:dyDescent="0.2">
      <c r="A50" s="260"/>
      <c r="B50" s="174"/>
      <c r="C50" s="174"/>
      <c r="D50" s="174"/>
      <c r="E50" s="174"/>
      <c r="F50" s="174"/>
      <c r="G50" s="174"/>
      <c r="H50" s="251"/>
      <c r="I50" s="174"/>
      <c r="J50" s="174"/>
      <c r="K50" s="174"/>
      <c r="L50" s="174"/>
      <c r="M50" s="174"/>
    </row>
    <row r="51" spans="1:13" s="173" customFormat="1" x14ac:dyDescent="0.2">
      <c r="A51" s="126"/>
      <c r="D51" s="174"/>
      <c r="E51" s="174"/>
      <c r="F51" s="174"/>
      <c r="I51" s="251"/>
    </row>
    <row r="52" spans="1:13" s="173" customFormat="1" x14ac:dyDescent="0.2">
      <c r="A52" s="126"/>
      <c r="D52" s="174"/>
      <c r="E52" s="174"/>
      <c r="F52" s="174"/>
      <c r="I52" s="251"/>
    </row>
    <row r="53" spans="1:13" s="173" customFormat="1" x14ac:dyDescent="0.2">
      <c r="A53" s="126"/>
      <c r="D53" s="174"/>
      <c r="E53" s="174"/>
      <c r="F53" s="174"/>
      <c r="I53" s="251"/>
    </row>
    <row r="54" spans="1:13" s="173" customFormat="1" x14ac:dyDescent="0.2">
      <c r="A54" s="126"/>
      <c r="D54" s="174"/>
      <c r="E54" s="174"/>
      <c r="F54" s="174"/>
      <c r="I54" s="251"/>
    </row>
    <row r="55" spans="1:13" s="173" customFormat="1" x14ac:dyDescent="0.2">
      <c r="A55" s="126"/>
      <c r="D55" s="174"/>
      <c r="E55" s="174"/>
      <c r="F55" s="174"/>
      <c r="I55" s="251"/>
    </row>
    <row r="56" spans="1:13" s="173" customFormat="1" x14ac:dyDescent="0.2">
      <c r="A56" s="126"/>
      <c r="D56" s="174"/>
      <c r="E56" s="174"/>
      <c r="F56" s="174"/>
      <c r="I56" s="251"/>
    </row>
    <row r="57" spans="1:13" s="173" customFormat="1" x14ac:dyDescent="0.2">
      <c r="A57" s="126"/>
      <c r="D57" s="174"/>
      <c r="E57" s="174"/>
      <c r="F57" s="174"/>
      <c r="I57" s="251"/>
    </row>
    <row r="58" spans="1:13" s="173" customFormat="1" x14ac:dyDescent="0.2">
      <c r="A58" s="126"/>
      <c r="D58" s="174"/>
      <c r="E58" s="174"/>
      <c r="F58" s="174"/>
      <c r="I58" s="251"/>
    </row>
    <row r="59" spans="1:13" s="173" customFormat="1" x14ac:dyDescent="0.2">
      <c r="A59" s="126"/>
      <c r="D59" s="174"/>
      <c r="E59" s="174"/>
      <c r="F59" s="174"/>
      <c r="I59" s="251"/>
    </row>
    <row r="60" spans="1:13" s="173" customFormat="1" x14ac:dyDescent="0.2">
      <c r="A60" s="126"/>
      <c r="D60" s="174"/>
      <c r="E60" s="174"/>
      <c r="F60" s="174"/>
      <c r="I60" s="251"/>
    </row>
    <row r="61" spans="1:13" s="173" customFormat="1" x14ac:dyDescent="0.2">
      <c r="A61" s="126"/>
      <c r="D61" s="174"/>
      <c r="E61" s="174"/>
      <c r="F61" s="174"/>
      <c r="I61" s="251"/>
    </row>
    <row r="62" spans="1:13" s="173" customFormat="1" x14ac:dyDescent="0.2">
      <c r="A62" s="126"/>
      <c r="D62" s="174"/>
      <c r="E62" s="174"/>
      <c r="F62" s="174"/>
      <c r="I62" s="251"/>
    </row>
    <row r="63" spans="1:13" s="173" customFormat="1" x14ac:dyDescent="0.2">
      <c r="A63" s="126"/>
      <c r="D63" s="174"/>
      <c r="E63" s="174"/>
      <c r="F63" s="174"/>
      <c r="I63" s="251"/>
    </row>
    <row r="64" spans="1:13" s="173" customFormat="1" x14ac:dyDescent="0.2">
      <c r="A64" s="126"/>
      <c r="D64" s="174"/>
      <c r="E64" s="174"/>
      <c r="F64" s="174"/>
      <c r="I64" s="251"/>
    </row>
    <row r="65" spans="1:9" s="173" customFormat="1" x14ac:dyDescent="0.2">
      <c r="A65" s="126"/>
      <c r="D65" s="174"/>
      <c r="E65" s="174"/>
      <c r="F65" s="174"/>
      <c r="I65" s="251"/>
    </row>
    <row r="66" spans="1:9" s="173" customFormat="1" x14ac:dyDescent="0.2">
      <c r="A66" s="126"/>
      <c r="D66" s="174"/>
      <c r="E66" s="174"/>
      <c r="F66" s="174"/>
      <c r="I66" s="251"/>
    </row>
    <row r="67" spans="1:9" s="173" customFormat="1" x14ac:dyDescent="0.2">
      <c r="A67" s="126"/>
      <c r="D67" s="174"/>
      <c r="E67" s="174"/>
      <c r="F67" s="174"/>
      <c r="I67" s="251"/>
    </row>
    <row r="68" spans="1:9" s="173" customFormat="1" x14ac:dyDescent="0.2">
      <c r="A68" s="126"/>
      <c r="D68" s="174"/>
      <c r="E68" s="174"/>
      <c r="F68" s="174"/>
      <c r="I68" s="251"/>
    </row>
    <row r="69" spans="1:9" s="173" customFormat="1" x14ac:dyDescent="0.2">
      <c r="A69" s="126"/>
      <c r="D69" s="174"/>
      <c r="E69" s="174"/>
      <c r="F69" s="174"/>
      <c r="I69" s="251"/>
    </row>
    <row r="70" spans="1:9" s="173" customFormat="1" x14ac:dyDescent="0.2">
      <c r="A70" s="126"/>
      <c r="D70" s="174"/>
      <c r="E70" s="174"/>
      <c r="F70" s="174"/>
      <c r="I70" s="251"/>
    </row>
    <row r="71" spans="1:9" s="173" customFormat="1" x14ac:dyDescent="0.2">
      <c r="A71" s="126"/>
      <c r="D71" s="174"/>
      <c r="E71" s="174"/>
      <c r="F71" s="174"/>
      <c r="I71" s="251"/>
    </row>
    <row r="72" spans="1:9" s="173" customFormat="1" x14ac:dyDescent="0.2">
      <c r="A72" s="126"/>
      <c r="D72" s="174"/>
      <c r="E72" s="174"/>
      <c r="F72" s="174"/>
      <c r="I72" s="251"/>
    </row>
    <row r="73" spans="1:9" s="173" customFormat="1" x14ac:dyDescent="0.2">
      <c r="A73" s="126"/>
      <c r="D73" s="174"/>
      <c r="E73" s="174"/>
      <c r="F73" s="174"/>
      <c r="I73" s="251"/>
    </row>
    <row r="74" spans="1:9" s="173" customFormat="1" x14ac:dyDescent="0.2">
      <c r="A74" s="126"/>
      <c r="D74" s="174"/>
      <c r="E74" s="174"/>
      <c r="F74" s="174"/>
      <c r="I74" s="251"/>
    </row>
    <row r="75" spans="1:9" s="173" customFormat="1" x14ac:dyDescent="0.2">
      <c r="A75" s="126"/>
      <c r="D75" s="174"/>
      <c r="E75" s="174"/>
      <c r="F75" s="174"/>
      <c r="I75" s="251"/>
    </row>
    <row r="76" spans="1:9" s="173" customFormat="1" x14ac:dyDescent="0.2">
      <c r="A76" s="126"/>
      <c r="D76" s="174"/>
      <c r="E76" s="174"/>
      <c r="F76" s="174"/>
      <c r="I76" s="251"/>
    </row>
    <row r="77" spans="1:9" s="173" customFormat="1" x14ac:dyDescent="0.2">
      <c r="A77" s="126"/>
      <c r="D77" s="174"/>
      <c r="E77" s="174"/>
      <c r="F77" s="174"/>
      <c r="I77" s="251"/>
    </row>
    <row r="78" spans="1:9" s="173" customFormat="1" x14ac:dyDescent="0.2">
      <c r="A78" s="126"/>
      <c r="D78" s="174"/>
      <c r="E78" s="174"/>
      <c r="F78" s="174"/>
      <c r="I78" s="251"/>
    </row>
  </sheetData>
  <mergeCells count="1">
    <mergeCell ref="A4:N4"/>
  </mergeCells>
  <printOptions horizontalCentered="1"/>
  <pageMargins left="0.24" right="0.36" top="0.5" bottom="0.28000000000000003" header="0" footer="0"/>
  <pageSetup paperSize="9" scale="68" orientation="landscape" horizontalDpi="4294967292" r:id="rId1"/>
  <headerFooter alignWithMargins="0">
    <oddFooter>&amp;RPág..2</oddFooter>
  </headerFooter>
  <ignoredErrors>
    <ignoredError sqref="B34:B36 B15:M15 B20:B21 N12:N14 N10" evalError="1"/>
  </ignoredError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tabColor rgb="FFD60093"/>
    <pageSetUpPr fitToPage="1"/>
  </sheetPr>
  <dimension ref="A1:O58"/>
  <sheetViews>
    <sheetView showGridLines="0" zoomScale="85" workbookViewId="0">
      <selection activeCell="A4" sqref="A4:N4"/>
    </sheetView>
  </sheetViews>
  <sheetFormatPr baseColWidth="10" defaultColWidth="11.42578125" defaultRowHeight="12.75" x14ac:dyDescent="0.2"/>
  <cols>
    <col min="1" max="1" width="22.5703125" style="173" customWidth="1"/>
    <col min="2" max="12" width="15.7109375" style="173" customWidth="1"/>
    <col min="13" max="13" width="14.5703125" style="173" bestFit="1" customWidth="1"/>
    <col min="14" max="14" width="15.7109375" style="173" hidden="1" customWidth="1"/>
    <col min="15" max="15" width="15.5703125" style="174" bestFit="1" customWidth="1"/>
    <col min="16" max="256" width="11.42578125" style="173"/>
    <col min="257" max="257" width="22.5703125" style="173" customWidth="1"/>
    <col min="258" max="268" width="15.7109375" style="173" customWidth="1"/>
    <col min="269" max="269" width="14.5703125" style="173" bestFit="1" customWidth="1"/>
    <col min="270" max="270" width="0" style="173" hidden="1" customWidth="1"/>
    <col min="271" max="271" width="15.5703125" style="173" bestFit="1" customWidth="1"/>
    <col min="272" max="512" width="11.42578125" style="173"/>
    <col min="513" max="513" width="22.5703125" style="173" customWidth="1"/>
    <col min="514" max="524" width="15.7109375" style="173" customWidth="1"/>
    <col min="525" max="525" width="14.5703125" style="173" bestFit="1" customWidth="1"/>
    <col min="526" max="526" width="0" style="173" hidden="1" customWidth="1"/>
    <col min="527" max="527" width="15.5703125" style="173" bestFit="1" customWidth="1"/>
    <col min="528" max="768" width="11.42578125" style="173"/>
    <col min="769" max="769" width="22.5703125" style="173" customWidth="1"/>
    <col min="770" max="780" width="15.7109375" style="173" customWidth="1"/>
    <col min="781" max="781" width="14.5703125" style="173" bestFit="1" customWidth="1"/>
    <col min="782" max="782" width="0" style="173" hidden="1" customWidth="1"/>
    <col min="783" max="783" width="15.5703125" style="173" bestFit="1" customWidth="1"/>
    <col min="784" max="1024" width="11.42578125" style="173"/>
    <col min="1025" max="1025" width="22.5703125" style="173" customWidth="1"/>
    <col min="1026" max="1036" width="15.7109375" style="173" customWidth="1"/>
    <col min="1037" max="1037" width="14.5703125" style="173" bestFit="1" customWidth="1"/>
    <col min="1038" max="1038" width="0" style="173" hidden="1" customWidth="1"/>
    <col min="1039" max="1039" width="15.5703125" style="173" bestFit="1" customWidth="1"/>
    <col min="1040" max="1280" width="11.42578125" style="173"/>
    <col min="1281" max="1281" width="22.5703125" style="173" customWidth="1"/>
    <col min="1282" max="1292" width="15.7109375" style="173" customWidth="1"/>
    <col min="1293" max="1293" width="14.5703125" style="173" bestFit="1" customWidth="1"/>
    <col min="1294" max="1294" width="0" style="173" hidden="1" customWidth="1"/>
    <col min="1295" max="1295" width="15.5703125" style="173" bestFit="1" customWidth="1"/>
    <col min="1296" max="1536" width="11.42578125" style="173"/>
    <col min="1537" max="1537" width="22.5703125" style="173" customWidth="1"/>
    <col min="1538" max="1548" width="15.7109375" style="173" customWidth="1"/>
    <col min="1549" max="1549" width="14.5703125" style="173" bestFit="1" customWidth="1"/>
    <col min="1550" max="1550" width="0" style="173" hidden="1" customWidth="1"/>
    <col min="1551" max="1551" width="15.5703125" style="173" bestFit="1" customWidth="1"/>
    <col min="1552" max="1792" width="11.42578125" style="173"/>
    <col min="1793" max="1793" width="22.5703125" style="173" customWidth="1"/>
    <col min="1794" max="1804" width="15.7109375" style="173" customWidth="1"/>
    <col min="1805" max="1805" width="14.5703125" style="173" bestFit="1" customWidth="1"/>
    <col min="1806" max="1806" width="0" style="173" hidden="1" customWidth="1"/>
    <col min="1807" max="1807" width="15.5703125" style="173" bestFit="1" customWidth="1"/>
    <col min="1808" max="2048" width="11.42578125" style="173"/>
    <col min="2049" max="2049" width="22.5703125" style="173" customWidth="1"/>
    <col min="2050" max="2060" width="15.7109375" style="173" customWidth="1"/>
    <col min="2061" max="2061" width="14.5703125" style="173" bestFit="1" customWidth="1"/>
    <col min="2062" max="2062" width="0" style="173" hidden="1" customWidth="1"/>
    <col min="2063" max="2063" width="15.5703125" style="173" bestFit="1" customWidth="1"/>
    <col min="2064" max="2304" width="11.42578125" style="173"/>
    <col min="2305" max="2305" width="22.5703125" style="173" customWidth="1"/>
    <col min="2306" max="2316" width="15.7109375" style="173" customWidth="1"/>
    <col min="2317" max="2317" width="14.5703125" style="173" bestFit="1" customWidth="1"/>
    <col min="2318" max="2318" width="0" style="173" hidden="1" customWidth="1"/>
    <col min="2319" max="2319" width="15.5703125" style="173" bestFit="1" customWidth="1"/>
    <col min="2320" max="2560" width="11.42578125" style="173"/>
    <col min="2561" max="2561" width="22.5703125" style="173" customWidth="1"/>
    <col min="2562" max="2572" width="15.7109375" style="173" customWidth="1"/>
    <col min="2573" max="2573" width="14.5703125" style="173" bestFit="1" customWidth="1"/>
    <col min="2574" max="2574" width="0" style="173" hidden="1" customWidth="1"/>
    <col min="2575" max="2575" width="15.5703125" style="173" bestFit="1" customWidth="1"/>
    <col min="2576" max="2816" width="11.42578125" style="173"/>
    <col min="2817" max="2817" width="22.5703125" style="173" customWidth="1"/>
    <col min="2818" max="2828" width="15.7109375" style="173" customWidth="1"/>
    <col min="2829" max="2829" width="14.5703125" style="173" bestFit="1" customWidth="1"/>
    <col min="2830" max="2830" width="0" style="173" hidden="1" customWidth="1"/>
    <col min="2831" max="2831" width="15.5703125" style="173" bestFit="1" customWidth="1"/>
    <col min="2832" max="3072" width="11.42578125" style="173"/>
    <col min="3073" max="3073" width="22.5703125" style="173" customWidth="1"/>
    <col min="3074" max="3084" width="15.7109375" style="173" customWidth="1"/>
    <col min="3085" max="3085" width="14.5703125" style="173" bestFit="1" customWidth="1"/>
    <col min="3086" max="3086" width="0" style="173" hidden="1" customWidth="1"/>
    <col min="3087" max="3087" width="15.5703125" style="173" bestFit="1" customWidth="1"/>
    <col min="3088" max="3328" width="11.42578125" style="173"/>
    <col min="3329" max="3329" width="22.5703125" style="173" customWidth="1"/>
    <col min="3330" max="3340" width="15.7109375" style="173" customWidth="1"/>
    <col min="3341" max="3341" width="14.5703125" style="173" bestFit="1" customWidth="1"/>
    <col min="3342" max="3342" width="0" style="173" hidden="1" customWidth="1"/>
    <col min="3343" max="3343" width="15.5703125" style="173" bestFit="1" customWidth="1"/>
    <col min="3344" max="3584" width="11.42578125" style="173"/>
    <col min="3585" max="3585" width="22.5703125" style="173" customWidth="1"/>
    <col min="3586" max="3596" width="15.7109375" style="173" customWidth="1"/>
    <col min="3597" max="3597" width="14.5703125" style="173" bestFit="1" customWidth="1"/>
    <col min="3598" max="3598" width="0" style="173" hidden="1" customWidth="1"/>
    <col min="3599" max="3599" width="15.5703125" style="173" bestFit="1" customWidth="1"/>
    <col min="3600" max="3840" width="11.42578125" style="173"/>
    <col min="3841" max="3841" width="22.5703125" style="173" customWidth="1"/>
    <col min="3842" max="3852" width="15.7109375" style="173" customWidth="1"/>
    <col min="3853" max="3853" width="14.5703125" style="173" bestFit="1" customWidth="1"/>
    <col min="3854" max="3854" width="0" style="173" hidden="1" customWidth="1"/>
    <col min="3855" max="3855" width="15.5703125" style="173" bestFit="1" customWidth="1"/>
    <col min="3856" max="4096" width="11.42578125" style="173"/>
    <col min="4097" max="4097" width="22.5703125" style="173" customWidth="1"/>
    <col min="4098" max="4108" width="15.7109375" style="173" customWidth="1"/>
    <col min="4109" max="4109" width="14.5703125" style="173" bestFit="1" customWidth="1"/>
    <col min="4110" max="4110" width="0" style="173" hidden="1" customWidth="1"/>
    <col min="4111" max="4111" width="15.5703125" style="173" bestFit="1" customWidth="1"/>
    <col min="4112" max="4352" width="11.42578125" style="173"/>
    <col min="4353" max="4353" width="22.5703125" style="173" customWidth="1"/>
    <col min="4354" max="4364" width="15.7109375" style="173" customWidth="1"/>
    <col min="4365" max="4365" width="14.5703125" style="173" bestFit="1" customWidth="1"/>
    <col min="4366" max="4366" width="0" style="173" hidden="1" customWidth="1"/>
    <col min="4367" max="4367" width="15.5703125" style="173" bestFit="1" customWidth="1"/>
    <col min="4368" max="4608" width="11.42578125" style="173"/>
    <col min="4609" max="4609" width="22.5703125" style="173" customWidth="1"/>
    <col min="4610" max="4620" width="15.7109375" style="173" customWidth="1"/>
    <col min="4621" max="4621" width="14.5703125" style="173" bestFit="1" customWidth="1"/>
    <col min="4622" max="4622" width="0" style="173" hidden="1" customWidth="1"/>
    <col min="4623" max="4623" width="15.5703125" style="173" bestFit="1" customWidth="1"/>
    <col min="4624" max="4864" width="11.42578125" style="173"/>
    <col min="4865" max="4865" width="22.5703125" style="173" customWidth="1"/>
    <col min="4866" max="4876" width="15.7109375" style="173" customWidth="1"/>
    <col min="4877" max="4877" width="14.5703125" style="173" bestFit="1" customWidth="1"/>
    <col min="4878" max="4878" width="0" style="173" hidden="1" customWidth="1"/>
    <col min="4879" max="4879" width="15.5703125" style="173" bestFit="1" customWidth="1"/>
    <col min="4880" max="5120" width="11.42578125" style="173"/>
    <col min="5121" max="5121" width="22.5703125" style="173" customWidth="1"/>
    <col min="5122" max="5132" width="15.7109375" style="173" customWidth="1"/>
    <col min="5133" max="5133" width="14.5703125" style="173" bestFit="1" customWidth="1"/>
    <col min="5134" max="5134" width="0" style="173" hidden="1" customWidth="1"/>
    <col min="5135" max="5135" width="15.5703125" style="173" bestFit="1" customWidth="1"/>
    <col min="5136" max="5376" width="11.42578125" style="173"/>
    <col min="5377" max="5377" width="22.5703125" style="173" customWidth="1"/>
    <col min="5378" max="5388" width="15.7109375" style="173" customWidth="1"/>
    <col min="5389" max="5389" width="14.5703125" style="173" bestFit="1" customWidth="1"/>
    <col min="5390" max="5390" width="0" style="173" hidden="1" customWidth="1"/>
    <col min="5391" max="5391" width="15.5703125" style="173" bestFit="1" customWidth="1"/>
    <col min="5392" max="5632" width="11.42578125" style="173"/>
    <col min="5633" max="5633" width="22.5703125" style="173" customWidth="1"/>
    <col min="5634" max="5644" width="15.7109375" style="173" customWidth="1"/>
    <col min="5645" max="5645" width="14.5703125" style="173" bestFit="1" customWidth="1"/>
    <col min="5646" max="5646" width="0" style="173" hidden="1" customWidth="1"/>
    <col min="5647" max="5647" width="15.5703125" style="173" bestFit="1" customWidth="1"/>
    <col min="5648" max="5888" width="11.42578125" style="173"/>
    <col min="5889" max="5889" width="22.5703125" style="173" customWidth="1"/>
    <col min="5890" max="5900" width="15.7109375" style="173" customWidth="1"/>
    <col min="5901" max="5901" width="14.5703125" style="173" bestFit="1" customWidth="1"/>
    <col min="5902" max="5902" width="0" style="173" hidden="1" customWidth="1"/>
    <col min="5903" max="5903" width="15.5703125" style="173" bestFit="1" customWidth="1"/>
    <col min="5904" max="6144" width="11.42578125" style="173"/>
    <col min="6145" max="6145" width="22.5703125" style="173" customWidth="1"/>
    <col min="6146" max="6156" width="15.7109375" style="173" customWidth="1"/>
    <col min="6157" max="6157" width="14.5703125" style="173" bestFit="1" customWidth="1"/>
    <col min="6158" max="6158" width="0" style="173" hidden="1" customWidth="1"/>
    <col min="6159" max="6159" width="15.5703125" style="173" bestFit="1" customWidth="1"/>
    <col min="6160" max="6400" width="11.42578125" style="173"/>
    <col min="6401" max="6401" width="22.5703125" style="173" customWidth="1"/>
    <col min="6402" max="6412" width="15.7109375" style="173" customWidth="1"/>
    <col min="6413" max="6413" width="14.5703125" style="173" bestFit="1" customWidth="1"/>
    <col min="6414" max="6414" width="0" style="173" hidden="1" customWidth="1"/>
    <col min="6415" max="6415" width="15.5703125" style="173" bestFit="1" customWidth="1"/>
    <col min="6416" max="6656" width="11.42578125" style="173"/>
    <col min="6657" max="6657" width="22.5703125" style="173" customWidth="1"/>
    <col min="6658" max="6668" width="15.7109375" style="173" customWidth="1"/>
    <col min="6669" max="6669" width="14.5703125" style="173" bestFit="1" customWidth="1"/>
    <col min="6670" max="6670" width="0" style="173" hidden="1" customWidth="1"/>
    <col min="6671" max="6671" width="15.5703125" style="173" bestFit="1" customWidth="1"/>
    <col min="6672" max="6912" width="11.42578125" style="173"/>
    <col min="6913" max="6913" width="22.5703125" style="173" customWidth="1"/>
    <col min="6914" max="6924" width="15.7109375" style="173" customWidth="1"/>
    <col min="6925" max="6925" width="14.5703125" style="173" bestFit="1" customWidth="1"/>
    <col min="6926" max="6926" width="0" style="173" hidden="1" customWidth="1"/>
    <col min="6927" max="6927" width="15.5703125" style="173" bestFit="1" customWidth="1"/>
    <col min="6928" max="7168" width="11.42578125" style="173"/>
    <col min="7169" max="7169" width="22.5703125" style="173" customWidth="1"/>
    <col min="7170" max="7180" width="15.7109375" style="173" customWidth="1"/>
    <col min="7181" max="7181" width="14.5703125" style="173" bestFit="1" customWidth="1"/>
    <col min="7182" max="7182" width="0" style="173" hidden="1" customWidth="1"/>
    <col min="7183" max="7183" width="15.5703125" style="173" bestFit="1" customWidth="1"/>
    <col min="7184" max="7424" width="11.42578125" style="173"/>
    <col min="7425" max="7425" width="22.5703125" style="173" customWidth="1"/>
    <col min="7426" max="7436" width="15.7109375" style="173" customWidth="1"/>
    <col min="7437" max="7437" width="14.5703125" style="173" bestFit="1" customWidth="1"/>
    <col min="7438" max="7438" width="0" style="173" hidden="1" customWidth="1"/>
    <col min="7439" max="7439" width="15.5703125" style="173" bestFit="1" customWidth="1"/>
    <col min="7440" max="7680" width="11.42578125" style="173"/>
    <col min="7681" max="7681" width="22.5703125" style="173" customWidth="1"/>
    <col min="7682" max="7692" width="15.7109375" style="173" customWidth="1"/>
    <col min="7693" max="7693" width="14.5703125" style="173" bestFit="1" customWidth="1"/>
    <col min="7694" max="7694" width="0" style="173" hidden="1" customWidth="1"/>
    <col min="7695" max="7695" width="15.5703125" style="173" bestFit="1" customWidth="1"/>
    <col min="7696" max="7936" width="11.42578125" style="173"/>
    <col min="7937" max="7937" width="22.5703125" style="173" customWidth="1"/>
    <col min="7938" max="7948" width="15.7109375" style="173" customWidth="1"/>
    <col min="7949" max="7949" width="14.5703125" style="173" bestFit="1" customWidth="1"/>
    <col min="7950" max="7950" width="0" style="173" hidden="1" customWidth="1"/>
    <col min="7951" max="7951" width="15.5703125" style="173" bestFit="1" customWidth="1"/>
    <col min="7952" max="8192" width="11.42578125" style="173"/>
    <col min="8193" max="8193" width="22.5703125" style="173" customWidth="1"/>
    <col min="8194" max="8204" width="15.7109375" style="173" customWidth="1"/>
    <col min="8205" max="8205" width="14.5703125" style="173" bestFit="1" customWidth="1"/>
    <col min="8206" max="8206" width="0" style="173" hidden="1" customWidth="1"/>
    <col min="8207" max="8207" width="15.5703125" style="173" bestFit="1" customWidth="1"/>
    <col min="8208" max="8448" width="11.42578125" style="173"/>
    <col min="8449" max="8449" width="22.5703125" style="173" customWidth="1"/>
    <col min="8450" max="8460" width="15.7109375" style="173" customWidth="1"/>
    <col min="8461" max="8461" width="14.5703125" style="173" bestFit="1" customWidth="1"/>
    <col min="8462" max="8462" width="0" style="173" hidden="1" customWidth="1"/>
    <col min="8463" max="8463" width="15.5703125" style="173" bestFit="1" customWidth="1"/>
    <col min="8464" max="8704" width="11.42578125" style="173"/>
    <col min="8705" max="8705" width="22.5703125" style="173" customWidth="1"/>
    <col min="8706" max="8716" width="15.7109375" style="173" customWidth="1"/>
    <col min="8717" max="8717" width="14.5703125" style="173" bestFit="1" customWidth="1"/>
    <col min="8718" max="8718" width="0" style="173" hidden="1" customWidth="1"/>
    <col min="8719" max="8719" width="15.5703125" style="173" bestFit="1" customWidth="1"/>
    <col min="8720" max="8960" width="11.42578125" style="173"/>
    <col min="8961" max="8961" width="22.5703125" style="173" customWidth="1"/>
    <col min="8962" max="8972" width="15.7109375" style="173" customWidth="1"/>
    <col min="8973" max="8973" width="14.5703125" style="173" bestFit="1" customWidth="1"/>
    <col min="8974" max="8974" width="0" style="173" hidden="1" customWidth="1"/>
    <col min="8975" max="8975" width="15.5703125" style="173" bestFit="1" customWidth="1"/>
    <col min="8976" max="9216" width="11.42578125" style="173"/>
    <col min="9217" max="9217" width="22.5703125" style="173" customWidth="1"/>
    <col min="9218" max="9228" width="15.7109375" style="173" customWidth="1"/>
    <col min="9229" max="9229" width="14.5703125" style="173" bestFit="1" customWidth="1"/>
    <col min="9230" max="9230" width="0" style="173" hidden="1" customWidth="1"/>
    <col min="9231" max="9231" width="15.5703125" style="173" bestFit="1" customWidth="1"/>
    <col min="9232" max="9472" width="11.42578125" style="173"/>
    <col min="9473" max="9473" width="22.5703125" style="173" customWidth="1"/>
    <col min="9474" max="9484" width="15.7109375" style="173" customWidth="1"/>
    <col min="9485" max="9485" width="14.5703125" style="173" bestFit="1" customWidth="1"/>
    <col min="9486" max="9486" width="0" style="173" hidden="1" customWidth="1"/>
    <col min="9487" max="9487" width="15.5703125" style="173" bestFit="1" customWidth="1"/>
    <col min="9488" max="9728" width="11.42578125" style="173"/>
    <col min="9729" max="9729" width="22.5703125" style="173" customWidth="1"/>
    <col min="9730" max="9740" width="15.7109375" style="173" customWidth="1"/>
    <col min="9741" max="9741" width="14.5703125" style="173" bestFit="1" customWidth="1"/>
    <col min="9742" max="9742" width="0" style="173" hidden="1" customWidth="1"/>
    <col min="9743" max="9743" width="15.5703125" style="173" bestFit="1" customWidth="1"/>
    <col min="9744" max="9984" width="11.42578125" style="173"/>
    <col min="9985" max="9985" width="22.5703125" style="173" customWidth="1"/>
    <col min="9986" max="9996" width="15.7109375" style="173" customWidth="1"/>
    <col min="9997" max="9997" width="14.5703125" style="173" bestFit="1" customWidth="1"/>
    <col min="9998" max="9998" width="0" style="173" hidden="1" customWidth="1"/>
    <col min="9999" max="9999" width="15.5703125" style="173" bestFit="1" customWidth="1"/>
    <col min="10000" max="10240" width="11.42578125" style="173"/>
    <col min="10241" max="10241" width="22.5703125" style="173" customWidth="1"/>
    <col min="10242" max="10252" width="15.7109375" style="173" customWidth="1"/>
    <col min="10253" max="10253" width="14.5703125" style="173" bestFit="1" customWidth="1"/>
    <col min="10254" max="10254" width="0" style="173" hidden="1" customWidth="1"/>
    <col min="10255" max="10255" width="15.5703125" style="173" bestFit="1" customWidth="1"/>
    <col min="10256" max="10496" width="11.42578125" style="173"/>
    <col min="10497" max="10497" width="22.5703125" style="173" customWidth="1"/>
    <col min="10498" max="10508" width="15.7109375" style="173" customWidth="1"/>
    <col min="10509" max="10509" width="14.5703125" style="173" bestFit="1" customWidth="1"/>
    <col min="10510" max="10510" width="0" style="173" hidden="1" customWidth="1"/>
    <col min="10511" max="10511" width="15.5703125" style="173" bestFit="1" customWidth="1"/>
    <col min="10512" max="10752" width="11.42578125" style="173"/>
    <col min="10753" max="10753" width="22.5703125" style="173" customWidth="1"/>
    <col min="10754" max="10764" width="15.7109375" style="173" customWidth="1"/>
    <col min="10765" max="10765" width="14.5703125" style="173" bestFit="1" customWidth="1"/>
    <col min="10766" max="10766" width="0" style="173" hidden="1" customWidth="1"/>
    <col min="10767" max="10767" width="15.5703125" style="173" bestFit="1" customWidth="1"/>
    <col min="10768" max="11008" width="11.42578125" style="173"/>
    <col min="11009" max="11009" width="22.5703125" style="173" customWidth="1"/>
    <col min="11010" max="11020" width="15.7109375" style="173" customWidth="1"/>
    <col min="11021" max="11021" width="14.5703125" style="173" bestFit="1" customWidth="1"/>
    <col min="11022" max="11022" width="0" style="173" hidden="1" customWidth="1"/>
    <col min="11023" max="11023" width="15.5703125" style="173" bestFit="1" customWidth="1"/>
    <col min="11024" max="11264" width="11.42578125" style="173"/>
    <col min="11265" max="11265" width="22.5703125" style="173" customWidth="1"/>
    <col min="11266" max="11276" width="15.7109375" style="173" customWidth="1"/>
    <col min="11277" max="11277" width="14.5703125" style="173" bestFit="1" customWidth="1"/>
    <col min="11278" max="11278" width="0" style="173" hidden="1" customWidth="1"/>
    <col min="11279" max="11279" width="15.5703125" style="173" bestFit="1" customWidth="1"/>
    <col min="11280" max="11520" width="11.42578125" style="173"/>
    <col min="11521" max="11521" width="22.5703125" style="173" customWidth="1"/>
    <col min="11522" max="11532" width="15.7109375" style="173" customWidth="1"/>
    <col min="11533" max="11533" width="14.5703125" style="173" bestFit="1" customWidth="1"/>
    <col min="11534" max="11534" width="0" style="173" hidden="1" customWidth="1"/>
    <col min="11535" max="11535" width="15.5703125" style="173" bestFit="1" customWidth="1"/>
    <col min="11536" max="11776" width="11.42578125" style="173"/>
    <col min="11777" max="11777" width="22.5703125" style="173" customWidth="1"/>
    <col min="11778" max="11788" width="15.7109375" style="173" customWidth="1"/>
    <col min="11789" max="11789" width="14.5703125" style="173" bestFit="1" customWidth="1"/>
    <col min="11790" max="11790" width="0" style="173" hidden="1" customWidth="1"/>
    <col min="11791" max="11791" width="15.5703125" style="173" bestFit="1" customWidth="1"/>
    <col min="11792" max="12032" width="11.42578125" style="173"/>
    <col min="12033" max="12033" width="22.5703125" style="173" customWidth="1"/>
    <col min="12034" max="12044" width="15.7109375" style="173" customWidth="1"/>
    <col min="12045" max="12045" width="14.5703125" style="173" bestFit="1" customWidth="1"/>
    <col min="12046" max="12046" width="0" style="173" hidden="1" customWidth="1"/>
    <col min="12047" max="12047" width="15.5703125" style="173" bestFit="1" customWidth="1"/>
    <col min="12048" max="12288" width="11.42578125" style="173"/>
    <col min="12289" max="12289" width="22.5703125" style="173" customWidth="1"/>
    <col min="12290" max="12300" width="15.7109375" style="173" customWidth="1"/>
    <col min="12301" max="12301" width="14.5703125" style="173" bestFit="1" customWidth="1"/>
    <col min="12302" max="12302" width="0" style="173" hidden="1" customWidth="1"/>
    <col min="12303" max="12303" width="15.5703125" style="173" bestFit="1" customWidth="1"/>
    <col min="12304" max="12544" width="11.42578125" style="173"/>
    <col min="12545" max="12545" width="22.5703125" style="173" customWidth="1"/>
    <col min="12546" max="12556" width="15.7109375" style="173" customWidth="1"/>
    <col min="12557" max="12557" width="14.5703125" style="173" bestFit="1" customWidth="1"/>
    <col min="12558" max="12558" width="0" style="173" hidden="1" customWidth="1"/>
    <col min="12559" max="12559" width="15.5703125" style="173" bestFit="1" customWidth="1"/>
    <col min="12560" max="12800" width="11.42578125" style="173"/>
    <col min="12801" max="12801" width="22.5703125" style="173" customWidth="1"/>
    <col min="12802" max="12812" width="15.7109375" style="173" customWidth="1"/>
    <col min="12813" max="12813" width="14.5703125" style="173" bestFit="1" customWidth="1"/>
    <col min="12814" max="12814" width="0" style="173" hidden="1" customWidth="1"/>
    <col min="12815" max="12815" width="15.5703125" style="173" bestFit="1" customWidth="1"/>
    <col min="12816" max="13056" width="11.42578125" style="173"/>
    <col min="13057" max="13057" width="22.5703125" style="173" customWidth="1"/>
    <col min="13058" max="13068" width="15.7109375" style="173" customWidth="1"/>
    <col min="13069" max="13069" width="14.5703125" style="173" bestFit="1" customWidth="1"/>
    <col min="13070" max="13070" width="0" style="173" hidden="1" customWidth="1"/>
    <col min="13071" max="13071" width="15.5703125" style="173" bestFit="1" customWidth="1"/>
    <col min="13072" max="13312" width="11.42578125" style="173"/>
    <col min="13313" max="13313" width="22.5703125" style="173" customWidth="1"/>
    <col min="13314" max="13324" width="15.7109375" style="173" customWidth="1"/>
    <col min="13325" max="13325" width="14.5703125" style="173" bestFit="1" customWidth="1"/>
    <col min="13326" max="13326" width="0" style="173" hidden="1" customWidth="1"/>
    <col min="13327" max="13327" width="15.5703125" style="173" bestFit="1" customWidth="1"/>
    <col min="13328" max="13568" width="11.42578125" style="173"/>
    <col min="13569" max="13569" width="22.5703125" style="173" customWidth="1"/>
    <col min="13570" max="13580" width="15.7109375" style="173" customWidth="1"/>
    <col min="13581" max="13581" width="14.5703125" style="173" bestFit="1" customWidth="1"/>
    <col min="13582" max="13582" width="0" style="173" hidden="1" customWidth="1"/>
    <col min="13583" max="13583" width="15.5703125" style="173" bestFit="1" customWidth="1"/>
    <col min="13584" max="13824" width="11.42578125" style="173"/>
    <col min="13825" max="13825" width="22.5703125" style="173" customWidth="1"/>
    <col min="13826" max="13836" width="15.7109375" style="173" customWidth="1"/>
    <col min="13837" max="13837" width="14.5703125" style="173" bestFit="1" customWidth="1"/>
    <col min="13838" max="13838" width="0" style="173" hidden="1" customWidth="1"/>
    <col min="13839" max="13839" width="15.5703125" style="173" bestFit="1" customWidth="1"/>
    <col min="13840" max="14080" width="11.42578125" style="173"/>
    <col min="14081" max="14081" width="22.5703125" style="173" customWidth="1"/>
    <col min="14082" max="14092" width="15.7109375" style="173" customWidth="1"/>
    <col min="14093" max="14093" width="14.5703125" style="173" bestFit="1" customWidth="1"/>
    <col min="14094" max="14094" width="0" style="173" hidden="1" customWidth="1"/>
    <col min="14095" max="14095" width="15.5703125" style="173" bestFit="1" customWidth="1"/>
    <col min="14096" max="14336" width="11.42578125" style="173"/>
    <col min="14337" max="14337" width="22.5703125" style="173" customWidth="1"/>
    <col min="14338" max="14348" width="15.7109375" style="173" customWidth="1"/>
    <col min="14349" max="14349" width="14.5703125" style="173" bestFit="1" customWidth="1"/>
    <col min="14350" max="14350" width="0" style="173" hidden="1" customWidth="1"/>
    <col min="14351" max="14351" width="15.5703125" style="173" bestFit="1" customWidth="1"/>
    <col min="14352" max="14592" width="11.42578125" style="173"/>
    <col min="14593" max="14593" width="22.5703125" style="173" customWidth="1"/>
    <col min="14594" max="14604" width="15.7109375" style="173" customWidth="1"/>
    <col min="14605" max="14605" width="14.5703125" style="173" bestFit="1" customWidth="1"/>
    <col min="14606" max="14606" width="0" style="173" hidden="1" customWidth="1"/>
    <col min="14607" max="14607" width="15.5703125" style="173" bestFit="1" customWidth="1"/>
    <col min="14608" max="14848" width="11.42578125" style="173"/>
    <col min="14849" max="14849" width="22.5703125" style="173" customWidth="1"/>
    <col min="14850" max="14860" width="15.7109375" style="173" customWidth="1"/>
    <col min="14861" max="14861" width="14.5703125" style="173" bestFit="1" customWidth="1"/>
    <col min="14862" max="14862" width="0" style="173" hidden="1" customWidth="1"/>
    <col min="14863" max="14863" width="15.5703125" style="173" bestFit="1" customWidth="1"/>
    <col min="14864" max="15104" width="11.42578125" style="173"/>
    <col min="15105" max="15105" width="22.5703125" style="173" customWidth="1"/>
    <col min="15106" max="15116" width="15.7109375" style="173" customWidth="1"/>
    <col min="15117" max="15117" width="14.5703125" style="173" bestFit="1" customWidth="1"/>
    <col min="15118" max="15118" width="0" style="173" hidden="1" customWidth="1"/>
    <col min="15119" max="15119" width="15.5703125" style="173" bestFit="1" customWidth="1"/>
    <col min="15120" max="15360" width="11.42578125" style="173"/>
    <col min="15361" max="15361" width="22.5703125" style="173" customWidth="1"/>
    <col min="15362" max="15372" width="15.7109375" style="173" customWidth="1"/>
    <col min="15373" max="15373" width="14.5703125" style="173" bestFit="1" customWidth="1"/>
    <col min="15374" max="15374" width="0" style="173" hidden="1" customWidth="1"/>
    <col min="15375" max="15375" width="15.5703125" style="173" bestFit="1" customWidth="1"/>
    <col min="15376" max="15616" width="11.42578125" style="173"/>
    <col min="15617" max="15617" width="22.5703125" style="173" customWidth="1"/>
    <col min="15618" max="15628" width="15.7109375" style="173" customWidth="1"/>
    <col min="15629" max="15629" width="14.5703125" style="173" bestFit="1" customWidth="1"/>
    <col min="15630" max="15630" width="0" style="173" hidden="1" customWidth="1"/>
    <col min="15631" max="15631" width="15.5703125" style="173" bestFit="1" customWidth="1"/>
    <col min="15632" max="15872" width="11.42578125" style="173"/>
    <col min="15873" max="15873" width="22.5703125" style="173" customWidth="1"/>
    <col min="15874" max="15884" width="15.7109375" style="173" customWidth="1"/>
    <col min="15885" max="15885" width="14.5703125" style="173" bestFit="1" customWidth="1"/>
    <col min="15886" max="15886" width="0" style="173" hidden="1" customWidth="1"/>
    <col min="15887" max="15887" width="15.5703125" style="173" bestFit="1" customWidth="1"/>
    <col min="15888" max="16128" width="11.42578125" style="173"/>
    <col min="16129" max="16129" width="22.5703125" style="173" customWidth="1"/>
    <col min="16130" max="16140" width="15.7109375" style="173" customWidth="1"/>
    <col min="16141" max="16141" width="14.5703125" style="173" bestFit="1" customWidth="1"/>
    <col min="16142" max="16142" width="0" style="173" hidden="1" customWidth="1"/>
    <col min="16143" max="16143" width="15.5703125" style="173" bestFit="1" customWidth="1"/>
    <col min="16144" max="16384" width="11.42578125" style="173"/>
  </cols>
  <sheetData>
    <row r="1" spans="1:15" x14ac:dyDescent="0.2">
      <c r="N1" s="174"/>
    </row>
    <row r="2" spans="1:15" x14ac:dyDescent="0.2">
      <c r="N2" s="174"/>
    </row>
    <row r="3" spans="1:15" x14ac:dyDescent="0.2">
      <c r="N3" s="174"/>
    </row>
    <row r="4" spans="1:15" ht="20.25" x14ac:dyDescent="0.3">
      <c r="A4" s="1824" t="s">
        <v>1075</v>
      </c>
      <c r="B4" s="1824"/>
      <c r="C4" s="1824"/>
      <c r="D4" s="1824"/>
      <c r="E4" s="1824"/>
      <c r="F4" s="1824"/>
      <c r="G4" s="1824"/>
      <c r="H4" s="1824"/>
      <c r="I4" s="1824"/>
      <c r="J4" s="1824"/>
      <c r="K4" s="1824"/>
      <c r="L4" s="1824"/>
      <c r="M4" s="1824"/>
      <c r="N4" s="1824"/>
      <c r="O4" s="175"/>
    </row>
    <row r="5" spans="1:15" x14ac:dyDescent="0.2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6"/>
    </row>
    <row r="6" spans="1:15" ht="13.5" thickBot="1" x14ac:dyDescent="0.25">
      <c r="B6" s="174"/>
      <c r="C6" s="174"/>
      <c r="G6" s="174"/>
      <c r="H6" s="174"/>
      <c r="I6" s="174"/>
      <c r="J6" s="174"/>
      <c r="K6" s="174"/>
      <c r="L6" s="174"/>
      <c r="M6" s="176"/>
      <c r="N6" s="176" t="s">
        <v>189</v>
      </c>
    </row>
    <row r="7" spans="1:15" ht="13.5" thickBot="1" x14ac:dyDescent="0.25">
      <c r="A7" s="177" t="s">
        <v>190</v>
      </c>
      <c r="B7" s="552" t="s">
        <v>0</v>
      </c>
      <c r="C7" s="552" t="s">
        <v>1</v>
      </c>
      <c r="D7" s="552" t="s">
        <v>2</v>
      </c>
      <c r="E7" s="552" t="s">
        <v>3</v>
      </c>
      <c r="F7" s="552" t="s">
        <v>4</v>
      </c>
      <c r="G7" s="552" t="s">
        <v>417</v>
      </c>
      <c r="H7" s="178" t="s">
        <v>6</v>
      </c>
      <c r="I7" s="178" t="s">
        <v>7</v>
      </c>
      <c r="J7" s="552" t="s">
        <v>8</v>
      </c>
      <c r="K7" s="552" t="s">
        <v>9</v>
      </c>
      <c r="L7" s="552" t="s">
        <v>10</v>
      </c>
      <c r="M7" s="553" t="s">
        <v>418</v>
      </c>
      <c r="N7" s="179" t="s">
        <v>49</v>
      </c>
    </row>
    <row r="8" spans="1:15" ht="13.5" thickBot="1" x14ac:dyDescent="0.25">
      <c r="A8" s="180" t="s">
        <v>1076</v>
      </c>
      <c r="B8" s="183">
        <f>[2]DATOS!$C$154</f>
        <v>226661.28</v>
      </c>
      <c r="C8" s="183">
        <f>[2]DATOS!$E$154</f>
        <v>185766.06000000003</v>
      </c>
      <c r="D8" s="183">
        <f>[2]DATOS!$G$154</f>
        <v>224952.76000000004</v>
      </c>
      <c r="E8" s="183">
        <f>[2]DATOS!$I$154</f>
        <v>190299.05999999997</v>
      </c>
      <c r="F8" s="183">
        <f>[2]DATOS!$K$154</f>
        <v>205613.97999999998</v>
      </c>
      <c r="G8" s="183">
        <f>[2]DATOS!$M$154</f>
        <v>269379.32</v>
      </c>
      <c r="H8" s="183">
        <f>[2]DATOS!$O$154</f>
        <v>278892.20000000007</v>
      </c>
      <c r="I8" s="183">
        <f>[2]DATOS!$Q$154</f>
        <v>51614.78</v>
      </c>
      <c r="J8" s="183">
        <f>[2]DATOS!$S$154</f>
        <v>276750.99</v>
      </c>
      <c r="K8" s="183">
        <f>[2]DATOS!$U$154</f>
        <v>253016.83000000002</v>
      </c>
      <c r="L8" s="183">
        <f>[2]DATOS!$W$154</f>
        <v>251678.77000000002</v>
      </c>
      <c r="M8" s="183">
        <f>[2]DATOS!$Y$154</f>
        <v>90400.52</v>
      </c>
      <c r="N8" s="181">
        <f>SUM(B8:M8)</f>
        <v>2505026.5500000003</v>
      </c>
      <c r="O8" s="173"/>
    </row>
    <row r="9" spans="1:15" ht="13.5" thickBot="1" x14ac:dyDescent="0.25">
      <c r="A9" s="182" t="s">
        <v>1077</v>
      </c>
      <c r="B9" s="183">
        <f>DATOS!C154</f>
        <v>238460.23000000004</v>
      </c>
      <c r="C9" s="183">
        <f>DATOS!E154</f>
        <v>215170.18000000002</v>
      </c>
      <c r="D9" s="183">
        <f>DATOS!G154</f>
        <v>221325.72000000003</v>
      </c>
      <c r="E9" s="183">
        <f>DATOS!I154</f>
        <v>213930.04</v>
      </c>
      <c r="F9" s="183">
        <f>DATOS!K154</f>
        <v>249029.69</v>
      </c>
      <c r="G9" s="183">
        <f>DATOS!M154</f>
        <v>300128.49</v>
      </c>
      <c r="H9" s="183">
        <f>DATOS!O154</f>
        <v>324111.37</v>
      </c>
      <c r="I9" s="183">
        <f>DATOS!Q154</f>
        <v>60396.19</v>
      </c>
      <c r="J9" s="183">
        <f>DATOS!S154</f>
        <v>285699.75999999989</v>
      </c>
      <c r="K9" s="183">
        <f>DATOS!U154</f>
        <v>273689.55</v>
      </c>
      <c r="L9" s="183">
        <f>DATOS!W154</f>
        <v>249051.40999999997</v>
      </c>
      <c r="M9" s="183">
        <f>DATOS!Y154</f>
        <v>167078.34</v>
      </c>
      <c r="N9" s="181">
        <f>SUM(B9:M9)</f>
        <v>2798070.9699999997</v>
      </c>
    </row>
    <row r="10" spans="1:15" ht="13.5" thickBot="1" x14ac:dyDescent="0.25">
      <c r="A10" s="184" t="s">
        <v>1078</v>
      </c>
      <c r="B10" s="185">
        <f t="shared" ref="B10:N10" si="0">((B9/B8)-1)</f>
        <v>5.2055428258412917E-2</v>
      </c>
      <c r="C10" s="185">
        <f t="shared" si="0"/>
        <v>0.15828574929133987</v>
      </c>
      <c r="D10" s="185">
        <f t="shared" si="0"/>
        <v>-1.6123563009406983E-2</v>
      </c>
      <c r="E10" s="185">
        <f t="shared" si="0"/>
        <v>0.12417812258242389</v>
      </c>
      <c r="F10" s="185">
        <f t="shared" si="0"/>
        <v>0.21115154718565354</v>
      </c>
      <c r="G10" s="185">
        <f t="shared" si="0"/>
        <v>0.11414822043503547</v>
      </c>
      <c r="H10" s="185">
        <f t="shared" si="0"/>
        <v>0.16213852520794747</v>
      </c>
      <c r="I10" s="185">
        <f t="shared" si="0"/>
        <v>0.1701336322657967</v>
      </c>
      <c r="J10" s="185">
        <f t="shared" si="0"/>
        <v>3.2335096615191627E-2</v>
      </c>
      <c r="K10" s="185">
        <f t="shared" si="0"/>
        <v>8.1704920577812867E-2</v>
      </c>
      <c r="L10" s="185">
        <f t="shared" si="0"/>
        <v>-1.0439339003444958E-2</v>
      </c>
      <c r="M10" s="186">
        <f t="shared" si="0"/>
        <v>0.84820109441848324</v>
      </c>
      <c r="N10" s="187">
        <f t="shared" si="0"/>
        <v>0.11698256052415879</v>
      </c>
    </row>
    <row r="11" spans="1:15" ht="13.5" thickBot="1" x14ac:dyDescent="0.25">
      <c r="A11" s="188" t="s">
        <v>1098</v>
      </c>
      <c r="B11" s="189">
        <f>DATOS!D$4</f>
        <v>0</v>
      </c>
      <c r="C11" s="189">
        <f>DATOS!F$4</f>
        <v>0</v>
      </c>
      <c r="D11" s="189">
        <f>DATOS!H$4</f>
        <v>0</v>
      </c>
      <c r="E11" s="189">
        <f>DATOS!J$4</f>
        <v>0</v>
      </c>
      <c r="F11" s="189">
        <f>DATOS!L$4</f>
        <v>0</v>
      </c>
      <c r="G11" s="189">
        <f>DATOS!N$4</f>
        <v>0</v>
      </c>
      <c r="H11" s="189">
        <f>DATOS!P$4</f>
        <v>0</v>
      </c>
      <c r="I11" s="189">
        <f>DATOS!R$4</f>
        <v>0</v>
      </c>
      <c r="J11" s="189">
        <f>DATOS!T$4</f>
        <v>0</v>
      </c>
      <c r="K11" s="189">
        <f>DATOS!V$4</f>
        <v>0</v>
      </c>
      <c r="L11" s="189">
        <f>DATOS!X$4</f>
        <v>0</v>
      </c>
      <c r="M11" s="189">
        <f>DATOS!Z$4</f>
        <v>0</v>
      </c>
      <c r="N11" s="190">
        <v>30186991.760253906</v>
      </c>
    </row>
    <row r="12" spans="1:15" ht="13.5" hidden="1" thickBot="1" x14ac:dyDescent="0.25">
      <c r="A12" s="191" t="s">
        <v>201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  <c r="H12" s="192">
        <v>0</v>
      </c>
      <c r="I12" s="192">
        <v>0</v>
      </c>
      <c r="J12" s="193"/>
      <c r="K12" s="193"/>
      <c r="L12" s="193"/>
      <c r="M12" s="194"/>
      <c r="N12" s="195">
        <f>SUM(B12:M12)</f>
        <v>0</v>
      </c>
    </row>
    <row r="13" spans="1:15" s="201" customFormat="1" ht="13.5" thickBot="1" x14ac:dyDescent="0.25">
      <c r="A13" s="196" t="s">
        <v>202</v>
      </c>
      <c r="B13" s="197" t="e">
        <f>((B9/B11)-1)</f>
        <v>#DIV/0!</v>
      </c>
      <c r="C13" s="197" t="e">
        <f t="shared" ref="C13:N13" si="1">((C9/C11)-1)</f>
        <v>#DIV/0!</v>
      </c>
      <c r="D13" s="197" t="e">
        <f t="shared" si="1"/>
        <v>#DIV/0!</v>
      </c>
      <c r="E13" s="197" t="e">
        <f t="shared" si="1"/>
        <v>#DIV/0!</v>
      </c>
      <c r="F13" s="197" t="e">
        <f t="shared" si="1"/>
        <v>#DIV/0!</v>
      </c>
      <c r="G13" s="197" t="e">
        <f t="shared" si="1"/>
        <v>#DIV/0!</v>
      </c>
      <c r="H13" s="197" t="e">
        <f t="shared" si="1"/>
        <v>#DIV/0!</v>
      </c>
      <c r="I13" s="197" t="e">
        <f t="shared" si="1"/>
        <v>#DIV/0!</v>
      </c>
      <c r="J13" s="197" t="e">
        <f t="shared" si="1"/>
        <v>#DIV/0!</v>
      </c>
      <c r="K13" s="197" t="e">
        <f t="shared" si="1"/>
        <v>#DIV/0!</v>
      </c>
      <c r="L13" s="197" t="e">
        <f t="shared" si="1"/>
        <v>#DIV/0!</v>
      </c>
      <c r="M13" s="198" t="e">
        <f t="shared" si="1"/>
        <v>#DIV/0!</v>
      </c>
      <c r="N13" s="199">
        <f t="shared" si="1"/>
        <v>-0.9073087178668755</v>
      </c>
      <c r="O13" s="200"/>
    </row>
    <row r="14" spans="1:15" x14ac:dyDescent="0.2">
      <c r="N14" s="174"/>
    </row>
    <row r="15" spans="1:15" hidden="1" x14ac:dyDescent="0.2">
      <c r="B15" s="202" t="str">
        <f>+[3]Ventas!B$28</f>
        <v>Totales</v>
      </c>
      <c r="C15" s="203">
        <f>+[3]Ventas!C$28</f>
        <v>3007.7849278184462</v>
      </c>
      <c r="D15" s="203">
        <f>+[3]Ventas!D$28</f>
        <v>3026.9834421165242</v>
      </c>
      <c r="E15" s="203">
        <f>+[3]Ventas!E$28</f>
        <v>3218.0593379250654</v>
      </c>
      <c r="F15" s="203">
        <f>+[3]Ventas!F$28</f>
        <v>2692.3557390645847</v>
      </c>
      <c r="G15" s="203">
        <f>+[3]Ventas!G$28</f>
        <v>3323.2124938396259</v>
      </c>
      <c r="H15" s="203">
        <f>+[3]Ventas!H$28</f>
        <v>3015.0162754077869</v>
      </c>
      <c r="I15" s="203"/>
      <c r="J15" s="203">
        <f>+[3]Ventas!J$28</f>
        <v>1350.9707908117268</v>
      </c>
      <c r="K15" s="203">
        <f>+[3]Ventas!K$28</f>
        <v>2863.03557991658</v>
      </c>
      <c r="L15" s="203">
        <f>+[3]Ventas!L$28</f>
        <v>3123.9157200726027</v>
      </c>
      <c r="M15" s="203">
        <f>+[3]Ventas!M$28</f>
        <v>2956.3250573966561</v>
      </c>
      <c r="N15" s="174"/>
    </row>
    <row r="16" spans="1:15" x14ac:dyDescent="0.2">
      <c r="D16" s="174"/>
      <c r="E16" s="174"/>
      <c r="F16" s="174"/>
      <c r="G16" s="174"/>
      <c r="J16" s="174"/>
      <c r="K16" s="174"/>
      <c r="L16" s="174"/>
      <c r="N16" s="174"/>
    </row>
    <row r="17" spans="1:14" x14ac:dyDescent="0.2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N17" s="174"/>
    </row>
    <row r="18" spans="1:14" x14ac:dyDescent="0.2">
      <c r="A18" s="20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N18" s="174"/>
    </row>
    <row r="19" spans="1:14" x14ac:dyDescent="0.2">
      <c r="A19" s="20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N19" s="174"/>
    </row>
    <row r="20" spans="1:14" x14ac:dyDescent="0.2">
      <c r="A20" s="20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N20" s="174"/>
    </row>
    <row r="21" spans="1:14" x14ac:dyDescent="0.2">
      <c r="A21" s="20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N21" s="174"/>
    </row>
    <row r="22" spans="1:14" x14ac:dyDescent="0.2">
      <c r="A22" s="20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N22" s="174"/>
    </row>
    <row r="23" spans="1:14" x14ac:dyDescent="0.2">
      <c r="A23" s="20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N23" s="174"/>
    </row>
    <row r="24" spans="1:14" x14ac:dyDescent="0.2">
      <c r="A24" s="20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</row>
    <row r="25" spans="1:14" x14ac:dyDescent="0.2">
      <c r="A25" s="20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pans="1:14" x14ac:dyDescent="0.2">
      <c r="A26" s="20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1:14" x14ac:dyDescent="0.2">
      <c r="A27" s="20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</row>
    <row r="28" spans="1:14" x14ac:dyDescent="0.2">
      <c r="A28" s="20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</row>
    <row r="29" spans="1:14" x14ac:dyDescent="0.2">
      <c r="A29" s="204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</row>
    <row r="30" spans="1:14" x14ac:dyDescent="0.2">
      <c r="A30" s="20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</row>
    <row r="31" spans="1:14" x14ac:dyDescent="0.2">
      <c r="A31" s="20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</row>
    <row r="32" spans="1:14" x14ac:dyDescent="0.2">
      <c r="A32" s="20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</row>
    <row r="33" spans="1:14" x14ac:dyDescent="0.2">
      <c r="A33" s="20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</row>
    <row r="34" spans="1:14" x14ac:dyDescent="0.2">
      <c r="A34" s="20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</row>
    <row r="35" spans="1:14" x14ac:dyDescent="0.2">
      <c r="A35" s="20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</row>
    <row r="36" spans="1:14" x14ac:dyDescent="0.2">
      <c r="A36" s="20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pans="1:14" x14ac:dyDescent="0.2">
      <c r="A37" s="20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</row>
    <row r="38" spans="1:14" x14ac:dyDescent="0.2">
      <c r="A38" s="20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</row>
    <row r="39" spans="1:14" x14ac:dyDescent="0.2">
      <c r="A39" s="20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</row>
    <row r="40" spans="1:14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4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</row>
    <row r="42" spans="1:14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</row>
    <row r="43" spans="1:14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</row>
    <row r="44" spans="1:14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</row>
    <row r="45" spans="1:14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</row>
    <row r="46" spans="1:14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</row>
    <row r="47" spans="1:14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pans="1:14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</row>
    <row r="49" spans="2:14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</row>
    <row r="50" spans="2:14" ht="8.25" customHeight="1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</row>
    <row r="51" spans="2:14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</row>
    <row r="52" spans="2:14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</row>
    <row r="53" spans="2:14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</row>
    <row r="54" spans="2:14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</row>
    <row r="55" spans="2:14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</row>
    <row r="56" spans="2:14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</row>
    <row r="57" spans="2:14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</row>
    <row r="58" spans="2:14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</sheetData>
  <mergeCells count="1">
    <mergeCell ref="A4:N4"/>
  </mergeCells>
  <printOptions horizontalCentered="1"/>
  <pageMargins left="0.42" right="0.5" top="0.9" bottom="1" header="0" footer="0"/>
  <pageSetup paperSize="9" scale="65" orientation="landscape" horizontalDpi="4294967292" r:id="rId1"/>
  <headerFooter alignWithMargins="0">
    <oddFooter>&amp;R&amp;12Pág.. 3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>
    <tabColor rgb="FFEFF1A5"/>
    <pageSetUpPr fitToPage="1"/>
  </sheetPr>
  <dimension ref="B1:O58"/>
  <sheetViews>
    <sheetView showGridLines="0" topLeftCell="A4" zoomScale="85" workbookViewId="0">
      <selection activeCell="N10" sqref="N10"/>
    </sheetView>
  </sheetViews>
  <sheetFormatPr baseColWidth="10" defaultRowHeight="12.75" x14ac:dyDescent="0.2"/>
  <cols>
    <col min="1" max="1" width="1" style="90" customWidth="1"/>
    <col min="2" max="2" width="24" style="90" customWidth="1"/>
    <col min="3" max="3" width="14.7109375" style="90" bestFit="1" customWidth="1"/>
    <col min="4" max="5" width="14.85546875" style="90" bestFit="1" customWidth="1"/>
    <col min="6" max="6" width="15.7109375" style="90" bestFit="1" customWidth="1"/>
    <col min="7" max="11" width="15.5703125" style="90" bestFit="1" customWidth="1"/>
    <col min="12" max="14" width="15.7109375" style="90" bestFit="1" customWidth="1"/>
    <col min="15" max="15" width="3.42578125" style="90" customWidth="1"/>
    <col min="16" max="256" width="10.85546875" style="90"/>
    <col min="257" max="257" width="1" style="90" customWidth="1"/>
    <col min="258" max="258" width="24" style="90" customWidth="1"/>
    <col min="259" max="259" width="14.7109375" style="90" bestFit="1" customWidth="1"/>
    <col min="260" max="261" width="14.85546875" style="90" bestFit="1" customWidth="1"/>
    <col min="262" max="262" width="15.7109375" style="90" bestFit="1" customWidth="1"/>
    <col min="263" max="267" width="15.5703125" style="90" bestFit="1" customWidth="1"/>
    <col min="268" max="270" width="15.7109375" style="90" bestFit="1" customWidth="1"/>
    <col min="271" max="271" width="3.42578125" style="90" customWidth="1"/>
    <col min="272" max="512" width="10.85546875" style="90"/>
    <col min="513" max="513" width="1" style="90" customWidth="1"/>
    <col min="514" max="514" width="24" style="90" customWidth="1"/>
    <col min="515" max="515" width="14.7109375" style="90" bestFit="1" customWidth="1"/>
    <col min="516" max="517" width="14.85546875" style="90" bestFit="1" customWidth="1"/>
    <col min="518" max="518" width="15.7109375" style="90" bestFit="1" customWidth="1"/>
    <col min="519" max="523" width="15.5703125" style="90" bestFit="1" customWidth="1"/>
    <col min="524" max="526" width="15.7109375" style="90" bestFit="1" customWidth="1"/>
    <col min="527" max="527" width="3.42578125" style="90" customWidth="1"/>
    <col min="528" max="768" width="10.85546875" style="90"/>
    <col min="769" max="769" width="1" style="90" customWidth="1"/>
    <col min="770" max="770" width="24" style="90" customWidth="1"/>
    <col min="771" max="771" width="14.7109375" style="90" bestFit="1" customWidth="1"/>
    <col min="772" max="773" width="14.85546875" style="90" bestFit="1" customWidth="1"/>
    <col min="774" max="774" width="15.7109375" style="90" bestFit="1" customWidth="1"/>
    <col min="775" max="779" width="15.5703125" style="90" bestFit="1" customWidth="1"/>
    <col min="780" max="782" width="15.7109375" style="90" bestFit="1" customWidth="1"/>
    <col min="783" max="783" width="3.42578125" style="90" customWidth="1"/>
    <col min="784" max="1024" width="10.85546875" style="90"/>
    <col min="1025" max="1025" width="1" style="90" customWidth="1"/>
    <col min="1026" max="1026" width="24" style="90" customWidth="1"/>
    <col min="1027" max="1027" width="14.7109375" style="90" bestFit="1" customWidth="1"/>
    <col min="1028" max="1029" width="14.85546875" style="90" bestFit="1" customWidth="1"/>
    <col min="1030" max="1030" width="15.7109375" style="90" bestFit="1" customWidth="1"/>
    <col min="1031" max="1035" width="15.5703125" style="90" bestFit="1" customWidth="1"/>
    <col min="1036" max="1038" width="15.7109375" style="90" bestFit="1" customWidth="1"/>
    <col min="1039" max="1039" width="3.42578125" style="90" customWidth="1"/>
    <col min="1040" max="1280" width="10.85546875" style="90"/>
    <col min="1281" max="1281" width="1" style="90" customWidth="1"/>
    <col min="1282" max="1282" width="24" style="90" customWidth="1"/>
    <col min="1283" max="1283" width="14.7109375" style="90" bestFit="1" customWidth="1"/>
    <col min="1284" max="1285" width="14.85546875" style="90" bestFit="1" customWidth="1"/>
    <col min="1286" max="1286" width="15.7109375" style="90" bestFit="1" customWidth="1"/>
    <col min="1287" max="1291" width="15.5703125" style="90" bestFit="1" customWidth="1"/>
    <col min="1292" max="1294" width="15.7109375" style="90" bestFit="1" customWidth="1"/>
    <col min="1295" max="1295" width="3.42578125" style="90" customWidth="1"/>
    <col min="1296" max="1536" width="10.85546875" style="90"/>
    <col min="1537" max="1537" width="1" style="90" customWidth="1"/>
    <col min="1538" max="1538" width="24" style="90" customWidth="1"/>
    <col min="1539" max="1539" width="14.7109375" style="90" bestFit="1" customWidth="1"/>
    <col min="1540" max="1541" width="14.85546875" style="90" bestFit="1" customWidth="1"/>
    <col min="1542" max="1542" width="15.7109375" style="90" bestFit="1" customWidth="1"/>
    <col min="1543" max="1547" width="15.5703125" style="90" bestFit="1" customWidth="1"/>
    <col min="1548" max="1550" width="15.7109375" style="90" bestFit="1" customWidth="1"/>
    <col min="1551" max="1551" width="3.42578125" style="90" customWidth="1"/>
    <col min="1552" max="1792" width="10.85546875" style="90"/>
    <col min="1793" max="1793" width="1" style="90" customWidth="1"/>
    <col min="1794" max="1794" width="24" style="90" customWidth="1"/>
    <col min="1795" max="1795" width="14.7109375" style="90" bestFit="1" customWidth="1"/>
    <col min="1796" max="1797" width="14.85546875" style="90" bestFit="1" customWidth="1"/>
    <col min="1798" max="1798" width="15.7109375" style="90" bestFit="1" customWidth="1"/>
    <col min="1799" max="1803" width="15.5703125" style="90" bestFit="1" customWidth="1"/>
    <col min="1804" max="1806" width="15.7109375" style="90" bestFit="1" customWidth="1"/>
    <col min="1807" max="1807" width="3.42578125" style="90" customWidth="1"/>
    <col min="1808" max="2048" width="10.85546875" style="90"/>
    <col min="2049" max="2049" width="1" style="90" customWidth="1"/>
    <col min="2050" max="2050" width="24" style="90" customWidth="1"/>
    <col min="2051" max="2051" width="14.7109375" style="90" bestFit="1" customWidth="1"/>
    <col min="2052" max="2053" width="14.85546875" style="90" bestFit="1" customWidth="1"/>
    <col min="2054" max="2054" width="15.7109375" style="90" bestFit="1" customWidth="1"/>
    <col min="2055" max="2059" width="15.5703125" style="90" bestFit="1" customWidth="1"/>
    <col min="2060" max="2062" width="15.7109375" style="90" bestFit="1" customWidth="1"/>
    <col min="2063" max="2063" width="3.42578125" style="90" customWidth="1"/>
    <col min="2064" max="2304" width="10.85546875" style="90"/>
    <col min="2305" max="2305" width="1" style="90" customWidth="1"/>
    <col min="2306" max="2306" width="24" style="90" customWidth="1"/>
    <col min="2307" max="2307" width="14.7109375" style="90" bestFit="1" customWidth="1"/>
    <col min="2308" max="2309" width="14.85546875" style="90" bestFit="1" customWidth="1"/>
    <col min="2310" max="2310" width="15.7109375" style="90" bestFit="1" customWidth="1"/>
    <col min="2311" max="2315" width="15.5703125" style="90" bestFit="1" customWidth="1"/>
    <col min="2316" max="2318" width="15.7109375" style="90" bestFit="1" customWidth="1"/>
    <col min="2319" max="2319" width="3.42578125" style="90" customWidth="1"/>
    <col min="2320" max="2560" width="10.85546875" style="90"/>
    <col min="2561" max="2561" width="1" style="90" customWidth="1"/>
    <col min="2562" max="2562" width="24" style="90" customWidth="1"/>
    <col min="2563" max="2563" width="14.7109375" style="90" bestFit="1" customWidth="1"/>
    <col min="2564" max="2565" width="14.85546875" style="90" bestFit="1" customWidth="1"/>
    <col min="2566" max="2566" width="15.7109375" style="90" bestFit="1" customWidth="1"/>
    <col min="2567" max="2571" width="15.5703125" style="90" bestFit="1" customWidth="1"/>
    <col min="2572" max="2574" width="15.7109375" style="90" bestFit="1" customWidth="1"/>
    <col min="2575" max="2575" width="3.42578125" style="90" customWidth="1"/>
    <col min="2576" max="2816" width="10.85546875" style="90"/>
    <col min="2817" max="2817" width="1" style="90" customWidth="1"/>
    <col min="2818" max="2818" width="24" style="90" customWidth="1"/>
    <col min="2819" max="2819" width="14.7109375" style="90" bestFit="1" customWidth="1"/>
    <col min="2820" max="2821" width="14.85546875" style="90" bestFit="1" customWidth="1"/>
    <col min="2822" max="2822" width="15.7109375" style="90" bestFit="1" customWidth="1"/>
    <col min="2823" max="2827" width="15.5703125" style="90" bestFit="1" customWidth="1"/>
    <col min="2828" max="2830" width="15.7109375" style="90" bestFit="1" customWidth="1"/>
    <col min="2831" max="2831" width="3.42578125" style="90" customWidth="1"/>
    <col min="2832" max="3072" width="10.85546875" style="90"/>
    <col min="3073" max="3073" width="1" style="90" customWidth="1"/>
    <col min="3074" max="3074" width="24" style="90" customWidth="1"/>
    <col min="3075" max="3075" width="14.7109375" style="90" bestFit="1" customWidth="1"/>
    <col min="3076" max="3077" width="14.85546875" style="90" bestFit="1" customWidth="1"/>
    <col min="3078" max="3078" width="15.7109375" style="90" bestFit="1" customWidth="1"/>
    <col min="3079" max="3083" width="15.5703125" style="90" bestFit="1" customWidth="1"/>
    <col min="3084" max="3086" width="15.7109375" style="90" bestFit="1" customWidth="1"/>
    <col min="3087" max="3087" width="3.42578125" style="90" customWidth="1"/>
    <col min="3088" max="3328" width="10.85546875" style="90"/>
    <col min="3329" max="3329" width="1" style="90" customWidth="1"/>
    <col min="3330" max="3330" width="24" style="90" customWidth="1"/>
    <col min="3331" max="3331" width="14.7109375" style="90" bestFit="1" customWidth="1"/>
    <col min="3332" max="3333" width="14.85546875" style="90" bestFit="1" customWidth="1"/>
    <col min="3334" max="3334" width="15.7109375" style="90" bestFit="1" customWidth="1"/>
    <col min="3335" max="3339" width="15.5703125" style="90" bestFit="1" customWidth="1"/>
    <col min="3340" max="3342" width="15.7109375" style="90" bestFit="1" customWidth="1"/>
    <col min="3343" max="3343" width="3.42578125" style="90" customWidth="1"/>
    <col min="3344" max="3584" width="10.85546875" style="90"/>
    <col min="3585" max="3585" width="1" style="90" customWidth="1"/>
    <col min="3586" max="3586" width="24" style="90" customWidth="1"/>
    <col min="3587" max="3587" width="14.7109375" style="90" bestFit="1" customWidth="1"/>
    <col min="3588" max="3589" width="14.85546875" style="90" bestFit="1" customWidth="1"/>
    <col min="3590" max="3590" width="15.7109375" style="90" bestFit="1" customWidth="1"/>
    <col min="3591" max="3595" width="15.5703125" style="90" bestFit="1" customWidth="1"/>
    <col min="3596" max="3598" width="15.7109375" style="90" bestFit="1" customWidth="1"/>
    <col min="3599" max="3599" width="3.42578125" style="90" customWidth="1"/>
    <col min="3600" max="3840" width="10.85546875" style="90"/>
    <col min="3841" max="3841" width="1" style="90" customWidth="1"/>
    <col min="3842" max="3842" width="24" style="90" customWidth="1"/>
    <col min="3843" max="3843" width="14.7109375" style="90" bestFit="1" customWidth="1"/>
    <col min="3844" max="3845" width="14.85546875" style="90" bestFit="1" customWidth="1"/>
    <col min="3846" max="3846" width="15.7109375" style="90" bestFit="1" customWidth="1"/>
    <col min="3847" max="3851" width="15.5703125" style="90" bestFit="1" customWidth="1"/>
    <col min="3852" max="3854" width="15.7109375" style="90" bestFit="1" customWidth="1"/>
    <col min="3855" max="3855" width="3.42578125" style="90" customWidth="1"/>
    <col min="3856" max="4096" width="10.85546875" style="90"/>
    <col min="4097" max="4097" width="1" style="90" customWidth="1"/>
    <col min="4098" max="4098" width="24" style="90" customWidth="1"/>
    <col min="4099" max="4099" width="14.7109375" style="90" bestFit="1" customWidth="1"/>
    <col min="4100" max="4101" width="14.85546875" style="90" bestFit="1" customWidth="1"/>
    <col min="4102" max="4102" width="15.7109375" style="90" bestFit="1" customWidth="1"/>
    <col min="4103" max="4107" width="15.5703125" style="90" bestFit="1" customWidth="1"/>
    <col min="4108" max="4110" width="15.7109375" style="90" bestFit="1" customWidth="1"/>
    <col min="4111" max="4111" width="3.42578125" style="90" customWidth="1"/>
    <col min="4112" max="4352" width="10.85546875" style="90"/>
    <col min="4353" max="4353" width="1" style="90" customWidth="1"/>
    <col min="4354" max="4354" width="24" style="90" customWidth="1"/>
    <col min="4355" max="4355" width="14.7109375" style="90" bestFit="1" customWidth="1"/>
    <col min="4356" max="4357" width="14.85546875" style="90" bestFit="1" customWidth="1"/>
    <col min="4358" max="4358" width="15.7109375" style="90" bestFit="1" customWidth="1"/>
    <col min="4359" max="4363" width="15.5703125" style="90" bestFit="1" customWidth="1"/>
    <col min="4364" max="4366" width="15.7109375" style="90" bestFit="1" customWidth="1"/>
    <col min="4367" max="4367" width="3.42578125" style="90" customWidth="1"/>
    <col min="4368" max="4608" width="10.85546875" style="90"/>
    <col min="4609" max="4609" width="1" style="90" customWidth="1"/>
    <col min="4610" max="4610" width="24" style="90" customWidth="1"/>
    <col min="4611" max="4611" width="14.7109375" style="90" bestFit="1" customWidth="1"/>
    <col min="4612" max="4613" width="14.85546875" style="90" bestFit="1" customWidth="1"/>
    <col min="4614" max="4614" width="15.7109375" style="90" bestFit="1" customWidth="1"/>
    <col min="4615" max="4619" width="15.5703125" style="90" bestFit="1" customWidth="1"/>
    <col min="4620" max="4622" width="15.7109375" style="90" bestFit="1" customWidth="1"/>
    <col min="4623" max="4623" width="3.42578125" style="90" customWidth="1"/>
    <col min="4624" max="4864" width="10.85546875" style="90"/>
    <col min="4865" max="4865" width="1" style="90" customWidth="1"/>
    <col min="4866" max="4866" width="24" style="90" customWidth="1"/>
    <col min="4867" max="4867" width="14.7109375" style="90" bestFit="1" customWidth="1"/>
    <col min="4868" max="4869" width="14.85546875" style="90" bestFit="1" customWidth="1"/>
    <col min="4870" max="4870" width="15.7109375" style="90" bestFit="1" customWidth="1"/>
    <col min="4871" max="4875" width="15.5703125" style="90" bestFit="1" customWidth="1"/>
    <col min="4876" max="4878" width="15.7109375" style="90" bestFit="1" customWidth="1"/>
    <col min="4879" max="4879" width="3.42578125" style="90" customWidth="1"/>
    <col min="4880" max="5120" width="10.85546875" style="90"/>
    <col min="5121" max="5121" width="1" style="90" customWidth="1"/>
    <col min="5122" max="5122" width="24" style="90" customWidth="1"/>
    <col min="5123" max="5123" width="14.7109375" style="90" bestFit="1" customWidth="1"/>
    <col min="5124" max="5125" width="14.85546875" style="90" bestFit="1" customWidth="1"/>
    <col min="5126" max="5126" width="15.7109375" style="90" bestFit="1" customWidth="1"/>
    <col min="5127" max="5131" width="15.5703125" style="90" bestFit="1" customWidth="1"/>
    <col min="5132" max="5134" width="15.7109375" style="90" bestFit="1" customWidth="1"/>
    <col min="5135" max="5135" width="3.42578125" style="90" customWidth="1"/>
    <col min="5136" max="5376" width="10.85546875" style="90"/>
    <col min="5377" max="5377" width="1" style="90" customWidth="1"/>
    <col min="5378" max="5378" width="24" style="90" customWidth="1"/>
    <col min="5379" max="5379" width="14.7109375" style="90" bestFit="1" customWidth="1"/>
    <col min="5380" max="5381" width="14.85546875" style="90" bestFit="1" customWidth="1"/>
    <col min="5382" max="5382" width="15.7109375" style="90" bestFit="1" customWidth="1"/>
    <col min="5383" max="5387" width="15.5703125" style="90" bestFit="1" customWidth="1"/>
    <col min="5388" max="5390" width="15.7109375" style="90" bestFit="1" customWidth="1"/>
    <col min="5391" max="5391" width="3.42578125" style="90" customWidth="1"/>
    <col min="5392" max="5632" width="10.85546875" style="90"/>
    <col min="5633" max="5633" width="1" style="90" customWidth="1"/>
    <col min="5634" max="5634" width="24" style="90" customWidth="1"/>
    <col min="5635" max="5635" width="14.7109375" style="90" bestFit="1" customWidth="1"/>
    <col min="5636" max="5637" width="14.85546875" style="90" bestFit="1" customWidth="1"/>
    <col min="5638" max="5638" width="15.7109375" style="90" bestFit="1" customWidth="1"/>
    <col min="5639" max="5643" width="15.5703125" style="90" bestFit="1" customWidth="1"/>
    <col min="5644" max="5646" width="15.7109375" style="90" bestFit="1" customWidth="1"/>
    <col min="5647" max="5647" width="3.42578125" style="90" customWidth="1"/>
    <col min="5648" max="5888" width="10.85546875" style="90"/>
    <col min="5889" max="5889" width="1" style="90" customWidth="1"/>
    <col min="5890" max="5890" width="24" style="90" customWidth="1"/>
    <col min="5891" max="5891" width="14.7109375" style="90" bestFit="1" customWidth="1"/>
    <col min="5892" max="5893" width="14.85546875" style="90" bestFit="1" customWidth="1"/>
    <col min="5894" max="5894" width="15.7109375" style="90" bestFit="1" customWidth="1"/>
    <col min="5895" max="5899" width="15.5703125" style="90" bestFit="1" customWidth="1"/>
    <col min="5900" max="5902" width="15.7109375" style="90" bestFit="1" customWidth="1"/>
    <col min="5903" max="5903" width="3.42578125" style="90" customWidth="1"/>
    <col min="5904" max="6144" width="10.85546875" style="90"/>
    <col min="6145" max="6145" width="1" style="90" customWidth="1"/>
    <col min="6146" max="6146" width="24" style="90" customWidth="1"/>
    <col min="6147" max="6147" width="14.7109375" style="90" bestFit="1" customWidth="1"/>
    <col min="6148" max="6149" width="14.85546875" style="90" bestFit="1" customWidth="1"/>
    <col min="6150" max="6150" width="15.7109375" style="90" bestFit="1" customWidth="1"/>
    <col min="6151" max="6155" width="15.5703125" style="90" bestFit="1" customWidth="1"/>
    <col min="6156" max="6158" width="15.7109375" style="90" bestFit="1" customWidth="1"/>
    <col min="6159" max="6159" width="3.42578125" style="90" customWidth="1"/>
    <col min="6160" max="6400" width="10.85546875" style="90"/>
    <col min="6401" max="6401" width="1" style="90" customWidth="1"/>
    <col min="6402" max="6402" width="24" style="90" customWidth="1"/>
    <col min="6403" max="6403" width="14.7109375" style="90" bestFit="1" customWidth="1"/>
    <col min="6404" max="6405" width="14.85546875" style="90" bestFit="1" customWidth="1"/>
    <col min="6406" max="6406" width="15.7109375" style="90" bestFit="1" customWidth="1"/>
    <col min="6407" max="6411" width="15.5703125" style="90" bestFit="1" customWidth="1"/>
    <col min="6412" max="6414" width="15.7109375" style="90" bestFit="1" customWidth="1"/>
    <col min="6415" max="6415" width="3.42578125" style="90" customWidth="1"/>
    <col min="6416" max="6656" width="10.85546875" style="90"/>
    <col min="6657" max="6657" width="1" style="90" customWidth="1"/>
    <col min="6658" max="6658" width="24" style="90" customWidth="1"/>
    <col min="6659" max="6659" width="14.7109375" style="90" bestFit="1" customWidth="1"/>
    <col min="6660" max="6661" width="14.85546875" style="90" bestFit="1" customWidth="1"/>
    <col min="6662" max="6662" width="15.7109375" style="90" bestFit="1" customWidth="1"/>
    <col min="6663" max="6667" width="15.5703125" style="90" bestFit="1" customWidth="1"/>
    <col min="6668" max="6670" width="15.7109375" style="90" bestFit="1" customWidth="1"/>
    <col min="6671" max="6671" width="3.42578125" style="90" customWidth="1"/>
    <col min="6672" max="6912" width="10.85546875" style="90"/>
    <col min="6913" max="6913" width="1" style="90" customWidth="1"/>
    <col min="6914" max="6914" width="24" style="90" customWidth="1"/>
    <col min="6915" max="6915" width="14.7109375" style="90" bestFit="1" customWidth="1"/>
    <col min="6916" max="6917" width="14.85546875" style="90" bestFit="1" customWidth="1"/>
    <col min="6918" max="6918" width="15.7109375" style="90" bestFit="1" customWidth="1"/>
    <col min="6919" max="6923" width="15.5703125" style="90" bestFit="1" customWidth="1"/>
    <col min="6924" max="6926" width="15.7109375" style="90" bestFit="1" customWidth="1"/>
    <col min="6927" max="6927" width="3.42578125" style="90" customWidth="1"/>
    <col min="6928" max="7168" width="10.85546875" style="90"/>
    <col min="7169" max="7169" width="1" style="90" customWidth="1"/>
    <col min="7170" max="7170" width="24" style="90" customWidth="1"/>
    <col min="7171" max="7171" width="14.7109375" style="90" bestFit="1" customWidth="1"/>
    <col min="7172" max="7173" width="14.85546875" style="90" bestFit="1" customWidth="1"/>
    <col min="7174" max="7174" width="15.7109375" style="90" bestFit="1" customWidth="1"/>
    <col min="7175" max="7179" width="15.5703125" style="90" bestFit="1" customWidth="1"/>
    <col min="7180" max="7182" width="15.7109375" style="90" bestFit="1" customWidth="1"/>
    <col min="7183" max="7183" width="3.42578125" style="90" customWidth="1"/>
    <col min="7184" max="7424" width="10.85546875" style="90"/>
    <col min="7425" max="7425" width="1" style="90" customWidth="1"/>
    <col min="7426" max="7426" width="24" style="90" customWidth="1"/>
    <col min="7427" max="7427" width="14.7109375" style="90" bestFit="1" customWidth="1"/>
    <col min="7428" max="7429" width="14.85546875" style="90" bestFit="1" customWidth="1"/>
    <col min="7430" max="7430" width="15.7109375" style="90" bestFit="1" customWidth="1"/>
    <col min="7431" max="7435" width="15.5703125" style="90" bestFit="1" customWidth="1"/>
    <col min="7436" max="7438" width="15.7109375" style="90" bestFit="1" customWidth="1"/>
    <col min="7439" max="7439" width="3.42578125" style="90" customWidth="1"/>
    <col min="7440" max="7680" width="10.85546875" style="90"/>
    <col min="7681" max="7681" width="1" style="90" customWidth="1"/>
    <col min="7682" max="7682" width="24" style="90" customWidth="1"/>
    <col min="7683" max="7683" width="14.7109375" style="90" bestFit="1" customWidth="1"/>
    <col min="7684" max="7685" width="14.85546875" style="90" bestFit="1" customWidth="1"/>
    <col min="7686" max="7686" width="15.7109375" style="90" bestFit="1" customWidth="1"/>
    <col min="7687" max="7691" width="15.5703125" style="90" bestFit="1" customWidth="1"/>
    <col min="7692" max="7694" width="15.7109375" style="90" bestFit="1" customWidth="1"/>
    <col min="7695" max="7695" width="3.42578125" style="90" customWidth="1"/>
    <col min="7696" max="7936" width="10.85546875" style="90"/>
    <col min="7937" max="7937" width="1" style="90" customWidth="1"/>
    <col min="7938" max="7938" width="24" style="90" customWidth="1"/>
    <col min="7939" max="7939" width="14.7109375" style="90" bestFit="1" customWidth="1"/>
    <col min="7940" max="7941" width="14.85546875" style="90" bestFit="1" customWidth="1"/>
    <col min="7942" max="7942" width="15.7109375" style="90" bestFit="1" customWidth="1"/>
    <col min="7943" max="7947" width="15.5703125" style="90" bestFit="1" customWidth="1"/>
    <col min="7948" max="7950" width="15.7109375" style="90" bestFit="1" customWidth="1"/>
    <col min="7951" max="7951" width="3.42578125" style="90" customWidth="1"/>
    <col min="7952" max="8192" width="10.85546875" style="90"/>
    <col min="8193" max="8193" width="1" style="90" customWidth="1"/>
    <col min="8194" max="8194" width="24" style="90" customWidth="1"/>
    <col min="8195" max="8195" width="14.7109375" style="90" bestFit="1" customWidth="1"/>
    <col min="8196" max="8197" width="14.85546875" style="90" bestFit="1" customWidth="1"/>
    <col min="8198" max="8198" width="15.7109375" style="90" bestFit="1" customWidth="1"/>
    <col min="8199" max="8203" width="15.5703125" style="90" bestFit="1" customWidth="1"/>
    <col min="8204" max="8206" width="15.7109375" style="90" bestFit="1" customWidth="1"/>
    <col min="8207" max="8207" width="3.42578125" style="90" customWidth="1"/>
    <col min="8208" max="8448" width="10.85546875" style="90"/>
    <col min="8449" max="8449" width="1" style="90" customWidth="1"/>
    <col min="8450" max="8450" width="24" style="90" customWidth="1"/>
    <col min="8451" max="8451" width="14.7109375" style="90" bestFit="1" customWidth="1"/>
    <col min="8452" max="8453" width="14.85546875" style="90" bestFit="1" customWidth="1"/>
    <col min="8454" max="8454" width="15.7109375" style="90" bestFit="1" customWidth="1"/>
    <col min="8455" max="8459" width="15.5703125" style="90" bestFit="1" customWidth="1"/>
    <col min="8460" max="8462" width="15.7109375" style="90" bestFit="1" customWidth="1"/>
    <col min="8463" max="8463" width="3.42578125" style="90" customWidth="1"/>
    <col min="8464" max="8704" width="10.85546875" style="90"/>
    <col min="8705" max="8705" width="1" style="90" customWidth="1"/>
    <col min="8706" max="8706" width="24" style="90" customWidth="1"/>
    <col min="8707" max="8707" width="14.7109375" style="90" bestFit="1" customWidth="1"/>
    <col min="8708" max="8709" width="14.85546875" style="90" bestFit="1" customWidth="1"/>
    <col min="8710" max="8710" width="15.7109375" style="90" bestFit="1" customWidth="1"/>
    <col min="8711" max="8715" width="15.5703125" style="90" bestFit="1" customWidth="1"/>
    <col min="8716" max="8718" width="15.7109375" style="90" bestFit="1" customWidth="1"/>
    <col min="8719" max="8719" width="3.42578125" style="90" customWidth="1"/>
    <col min="8720" max="8960" width="10.85546875" style="90"/>
    <col min="8961" max="8961" width="1" style="90" customWidth="1"/>
    <col min="8962" max="8962" width="24" style="90" customWidth="1"/>
    <col min="8963" max="8963" width="14.7109375" style="90" bestFit="1" customWidth="1"/>
    <col min="8964" max="8965" width="14.85546875" style="90" bestFit="1" customWidth="1"/>
    <col min="8966" max="8966" width="15.7109375" style="90" bestFit="1" customWidth="1"/>
    <col min="8967" max="8971" width="15.5703125" style="90" bestFit="1" customWidth="1"/>
    <col min="8972" max="8974" width="15.7109375" style="90" bestFit="1" customWidth="1"/>
    <col min="8975" max="8975" width="3.42578125" style="90" customWidth="1"/>
    <col min="8976" max="9216" width="10.85546875" style="90"/>
    <col min="9217" max="9217" width="1" style="90" customWidth="1"/>
    <col min="9218" max="9218" width="24" style="90" customWidth="1"/>
    <col min="9219" max="9219" width="14.7109375" style="90" bestFit="1" customWidth="1"/>
    <col min="9220" max="9221" width="14.85546875" style="90" bestFit="1" customWidth="1"/>
    <col min="9222" max="9222" width="15.7109375" style="90" bestFit="1" customWidth="1"/>
    <col min="9223" max="9227" width="15.5703125" style="90" bestFit="1" customWidth="1"/>
    <col min="9228" max="9230" width="15.7109375" style="90" bestFit="1" customWidth="1"/>
    <col min="9231" max="9231" width="3.42578125" style="90" customWidth="1"/>
    <col min="9232" max="9472" width="10.85546875" style="90"/>
    <col min="9473" max="9473" width="1" style="90" customWidth="1"/>
    <col min="9474" max="9474" width="24" style="90" customWidth="1"/>
    <col min="9475" max="9475" width="14.7109375" style="90" bestFit="1" customWidth="1"/>
    <col min="9476" max="9477" width="14.85546875" style="90" bestFit="1" customWidth="1"/>
    <col min="9478" max="9478" width="15.7109375" style="90" bestFit="1" customWidth="1"/>
    <col min="9479" max="9483" width="15.5703125" style="90" bestFit="1" customWidth="1"/>
    <col min="9484" max="9486" width="15.7109375" style="90" bestFit="1" customWidth="1"/>
    <col min="9487" max="9487" width="3.42578125" style="90" customWidth="1"/>
    <col min="9488" max="9728" width="10.85546875" style="90"/>
    <col min="9729" max="9729" width="1" style="90" customWidth="1"/>
    <col min="9730" max="9730" width="24" style="90" customWidth="1"/>
    <col min="9731" max="9731" width="14.7109375" style="90" bestFit="1" customWidth="1"/>
    <col min="9732" max="9733" width="14.85546875" style="90" bestFit="1" customWidth="1"/>
    <col min="9734" max="9734" width="15.7109375" style="90" bestFit="1" customWidth="1"/>
    <col min="9735" max="9739" width="15.5703125" style="90" bestFit="1" customWidth="1"/>
    <col min="9740" max="9742" width="15.7109375" style="90" bestFit="1" customWidth="1"/>
    <col min="9743" max="9743" width="3.42578125" style="90" customWidth="1"/>
    <col min="9744" max="9984" width="10.85546875" style="90"/>
    <col min="9985" max="9985" width="1" style="90" customWidth="1"/>
    <col min="9986" max="9986" width="24" style="90" customWidth="1"/>
    <col min="9987" max="9987" width="14.7109375" style="90" bestFit="1" customWidth="1"/>
    <col min="9988" max="9989" width="14.85546875" style="90" bestFit="1" customWidth="1"/>
    <col min="9990" max="9990" width="15.7109375" style="90" bestFit="1" customWidth="1"/>
    <col min="9991" max="9995" width="15.5703125" style="90" bestFit="1" customWidth="1"/>
    <col min="9996" max="9998" width="15.7109375" style="90" bestFit="1" customWidth="1"/>
    <col min="9999" max="9999" width="3.42578125" style="90" customWidth="1"/>
    <col min="10000" max="10240" width="10.85546875" style="90"/>
    <col min="10241" max="10241" width="1" style="90" customWidth="1"/>
    <col min="10242" max="10242" width="24" style="90" customWidth="1"/>
    <col min="10243" max="10243" width="14.7109375" style="90" bestFit="1" customWidth="1"/>
    <col min="10244" max="10245" width="14.85546875" style="90" bestFit="1" customWidth="1"/>
    <col min="10246" max="10246" width="15.7109375" style="90" bestFit="1" customWidth="1"/>
    <col min="10247" max="10251" width="15.5703125" style="90" bestFit="1" customWidth="1"/>
    <col min="10252" max="10254" width="15.7109375" style="90" bestFit="1" customWidth="1"/>
    <col min="10255" max="10255" width="3.42578125" style="90" customWidth="1"/>
    <col min="10256" max="10496" width="10.85546875" style="90"/>
    <col min="10497" max="10497" width="1" style="90" customWidth="1"/>
    <col min="10498" max="10498" width="24" style="90" customWidth="1"/>
    <col min="10499" max="10499" width="14.7109375" style="90" bestFit="1" customWidth="1"/>
    <col min="10500" max="10501" width="14.85546875" style="90" bestFit="1" customWidth="1"/>
    <col min="10502" max="10502" width="15.7109375" style="90" bestFit="1" customWidth="1"/>
    <col min="10503" max="10507" width="15.5703125" style="90" bestFit="1" customWidth="1"/>
    <col min="10508" max="10510" width="15.7109375" style="90" bestFit="1" customWidth="1"/>
    <col min="10511" max="10511" width="3.42578125" style="90" customWidth="1"/>
    <col min="10512" max="10752" width="10.85546875" style="90"/>
    <col min="10753" max="10753" width="1" style="90" customWidth="1"/>
    <col min="10754" max="10754" width="24" style="90" customWidth="1"/>
    <col min="10755" max="10755" width="14.7109375" style="90" bestFit="1" customWidth="1"/>
    <col min="10756" max="10757" width="14.85546875" style="90" bestFit="1" customWidth="1"/>
    <col min="10758" max="10758" width="15.7109375" style="90" bestFit="1" customWidth="1"/>
    <col min="10759" max="10763" width="15.5703125" style="90" bestFit="1" customWidth="1"/>
    <col min="10764" max="10766" width="15.7109375" style="90" bestFit="1" customWidth="1"/>
    <col min="10767" max="10767" width="3.42578125" style="90" customWidth="1"/>
    <col min="10768" max="11008" width="10.85546875" style="90"/>
    <col min="11009" max="11009" width="1" style="90" customWidth="1"/>
    <col min="11010" max="11010" width="24" style="90" customWidth="1"/>
    <col min="11011" max="11011" width="14.7109375" style="90" bestFit="1" customWidth="1"/>
    <col min="11012" max="11013" width="14.85546875" style="90" bestFit="1" customWidth="1"/>
    <col min="11014" max="11014" width="15.7109375" style="90" bestFit="1" customWidth="1"/>
    <col min="11015" max="11019" width="15.5703125" style="90" bestFit="1" customWidth="1"/>
    <col min="11020" max="11022" width="15.7109375" style="90" bestFit="1" customWidth="1"/>
    <col min="11023" max="11023" width="3.42578125" style="90" customWidth="1"/>
    <col min="11024" max="11264" width="10.85546875" style="90"/>
    <col min="11265" max="11265" width="1" style="90" customWidth="1"/>
    <col min="11266" max="11266" width="24" style="90" customWidth="1"/>
    <col min="11267" max="11267" width="14.7109375" style="90" bestFit="1" customWidth="1"/>
    <col min="11268" max="11269" width="14.85546875" style="90" bestFit="1" customWidth="1"/>
    <col min="11270" max="11270" width="15.7109375" style="90" bestFit="1" customWidth="1"/>
    <col min="11271" max="11275" width="15.5703125" style="90" bestFit="1" customWidth="1"/>
    <col min="11276" max="11278" width="15.7109375" style="90" bestFit="1" customWidth="1"/>
    <col min="11279" max="11279" width="3.42578125" style="90" customWidth="1"/>
    <col min="11280" max="11520" width="10.85546875" style="90"/>
    <col min="11521" max="11521" width="1" style="90" customWidth="1"/>
    <col min="11522" max="11522" width="24" style="90" customWidth="1"/>
    <col min="11523" max="11523" width="14.7109375" style="90" bestFit="1" customWidth="1"/>
    <col min="11524" max="11525" width="14.85546875" style="90" bestFit="1" customWidth="1"/>
    <col min="11526" max="11526" width="15.7109375" style="90" bestFit="1" customWidth="1"/>
    <col min="11527" max="11531" width="15.5703125" style="90" bestFit="1" customWidth="1"/>
    <col min="11532" max="11534" width="15.7109375" style="90" bestFit="1" customWidth="1"/>
    <col min="11535" max="11535" width="3.42578125" style="90" customWidth="1"/>
    <col min="11536" max="11776" width="10.85546875" style="90"/>
    <col min="11777" max="11777" width="1" style="90" customWidth="1"/>
    <col min="11778" max="11778" width="24" style="90" customWidth="1"/>
    <col min="11779" max="11779" width="14.7109375" style="90" bestFit="1" customWidth="1"/>
    <col min="11780" max="11781" width="14.85546875" style="90" bestFit="1" customWidth="1"/>
    <col min="11782" max="11782" width="15.7109375" style="90" bestFit="1" customWidth="1"/>
    <col min="11783" max="11787" width="15.5703125" style="90" bestFit="1" customWidth="1"/>
    <col min="11788" max="11790" width="15.7109375" style="90" bestFit="1" customWidth="1"/>
    <col min="11791" max="11791" width="3.42578125" style="90" customWidth="1"/>
    <col min="11792" max="12032" width="10.85546875" style="90"/>
    <col min="12033" max="12033" width="1" style="90" customWidth="1"/>
    <col min="12034" max="12034" width="24" style="90" customWidth="1"/>
    <col min="12035" max="12035" width="14.7109375" style="90" bestFit="1" customWidth="1"/>
    <col min="12036" max="12037" width="14.85546875" style="90" bestFit="1" customWidth="1"/>
    <col min="12038" max="12038" width="15.7109375" style="90" bestFit="1" customWidth="1"/>
    <col min="12039" max="12043" width="15.5703125" style="90" bestFit="1" customWidth="1"/>
    <col min="12044" max="12046" width="15.7109375" style="90" bestFit="1" customWidth="1"/>
    <col min="12047" max="12047" width="3.42578125" style="90" customWidth="1"/>
    <col min="12048" max="12288" width="10.85546875" style="90"/>
    <col min="12289" max="12289" width="1" style="90" customWidth="1"/>
    <col min="12290" max="12290" width="24" style="90" customWidth="1"/>
    <col min="12291" max="12291" width="14.7109375" style="90" bestFit="1" customWidth="1"/>
    <col min="12292" max="12293" width="14.85546875" style="90" bestFit="1" customWidth="1"/>
    <col min="12294" max="12294" width="15.7109375" style="90" bestFit="1" customWidth="1"/>
    <col min="12295" max="12299" width="15.5703125" style="90" bestFit="1" customWidth="1"/>
    <col min="12300" max="12302" width="15.7109375" style="90" bestFit="1" customWidth="1"/>
    <col min="12303" max="12303" width="3.42578125" style="90" customWidth="1"/>
    <col min="12304" max="12544" width="10.85546875" style="90"/>
    <col min="12545" max="12545" width="1" style="90" customWidth="1"/>
    <col min="12546" max="12546" width="24" style="90" customWidth="1"/>
    <col min="12547" max="12547" width="14.7109375" style="90" bestFit="1" customWidth="1"/>
    <col min="12548" max="12549" width="14.85546875" style="90" bestFit="1" customWidth="1"/>
    <col min="12550" max="12550" width="15.7109375" style="90" bestFit="1" customWidth="1"/>
    <col min="12551" max="12555" width="15.5703125" style="90" bestFit="1" customWidth="1"/>
    <col min="12556" max="12558" width="15.7109375" style="90" bestFit="1" customWidth="1"/>
    <col min="12559" max="12559" width="3.42578125" style="90" customWidth="1"/>
    <col min="12560" max="12800" width="10.85546875" style="90"/>
    <col min="12801" max="12801" width="1" style="90" customWidth="1"/>
    <col min="12802" max="12802" width="24" style="90" customWidth="1"/>
    <col min="12803" max="12803" width="14.7109375" style="90" bestFit="1" customWidth="1"/>
    <col min="12804" max="12805" width="14.85546875" style="90" bestFit="1" customWidth="1"/>
    <col min="12806" max="12806" width="15.7109375" style="90" bestFit="1" customWidth="1"/>
    <col min="12807" max="12811" width="15.5703125" style="90" bestFit="1" customWidth="1"/>
    <col min="12812" max="12814" width="15.7109375" style="90" bestFit="1" customWidth="1"/>
    <col min="12815" max="12815" width="3.42578125" style="90" customWidth="1"/>
    <col min="12816" max="13056" width="10.85546875" style="90"/>
    <col min="13057" max="13057" width="1" style="90" customWidth="1"/>
    <col min="13058" max="13058" width="24" style="90" customWidth="1"/>
    <col min="13059" max="13059" width="14.7109375" style="90" bestFit="1" customWidth="1"/>
    <col min="13060" max="13061" width="14.85546875" style="90" bestFit="1" customWidth="1"/>
    <col min="13062" max="13062" width="15.7109375" style="90" bestFit="1" customWidth="1"/>
    <col min="13063" max="13067" width="15.5703125" style="90" bestFit="1" customWidth="1"/>
    <col min="13068" max="13070" width="15.7109375" style="90" bestFit="1" customWidth="1"/>
    <col min="13071" max="13071" width="3.42578125" style="90" customWidth="1"/>
    <col min="13072" max="13312" width="10.85546875" style="90"/>
    <col min="13313" max="13313" width="1" style="90" customWidth="1"/>
    <col min="13314" max="13314" width="24" style="90" customWidth="1"/>
    <col min="13315" max="13315" width="14.7109375" style="90" bestFit="1" customWidth="1"/>
    <col min="13316" max="13317" width="14.85546875" style="90" bestFit="1" customWidth="1"/>
    <col min="13318" max="13318" width="15.7109375" style="90" bestFit="1" customWidth="1"/>
    <col min="13319" max="13323" width="15.5703125" style="90" bestFit="1" customWidth="1"/>
    <col min="13324" max="13326" width="15.7109375" style="90" bestFit="1" customWidth="1"/>
    <col min="13327" max="13327" width="3.42578125" style="90" customWidth="1"/>
    <col min="13328" max="13568" width="10.85546875" style="90"/>
    <col min="13569" max="13569" width="1" style="90" customWidth="1"/>
    <col min="13570" max="13570" width="24" style="90" customWidth="1"/>
    <col min="13571" max="13571" width="14.7109375" style="90" bestFit="1" customWidth="1"/>
    <col min="13572" max="13573" width="14.85546875" style="90" bestFit="1" customWidth="1"/>
    <col min="13574" max="13574" width="15.7109375" style="90" bestFit="1" customWidth="1"/>
    <col min="13575" max="13579" width="15.5703125" style="90" bestFit="1" customWidth="1"/>
    <col min="13580" max="13582" width="15.7109375" style="90" bestFit="1" customWidth="1"/>
    <col min="13583" max="13583" width="3.42578125" style="90" customWidth="1"/>
    <col min="13584" max="13824" width="10.85546875" style="90"/>
    <col min="13825" max="13825" width="1" style="90" customWidth="1"/>
    <col min="13826" max="13826" width="24" style="90" customWidth="1"/>
    <col min="13827" max="13827" width="14.7109375" style="90" bestFit="1" customWidth="1"/>
    <col min="13828" max="13829" width="14.85546875" style="90" bestFit="1" customWidth="1"/>
    <col min="13830" max="13830" width="15.7109375" style="90" bestFit="1" customWidth="1"/>
    <col min="13831" max="13835" width="15.5703125" style="90" bestFit="1" customWidth="1"/>
    <col min="13836" max="13838" width="15.7109375" style="90" bestFit="1" customWidth="1"/>
    <col min="13839" max="13839" width="3.42578125" style="90" customWidth="1"/>
    <col min="13840" max="14080" width="10.85546875" style="90"/>
    <col min="14081" max="14081" width="1" style="90" customWidth="1"/>
    <col min="14082" max="14082" width="24" style="90" customWidth="1"/>
    <col min="14083" max="14083" width="14.7109375" style="90" bestFit="1" customWidth="1"/>
    <col min="14084" max="14085" width="14.85546875" style="90" bestFit="1" customWidth="1"/>
    <col min="14086" max="14086" width="15.7109375" style="90" bestFit="1" customWidth="1"/>
    <col min="14087" max="14091" width="15.5703125" style="90" bestFit="1" customWidth="1"/>
    <col min="14092" max="14094" width="15.7109375" style="90" bestFit="1" customWidth="1"/>
    <col min="14095" max="14095" width="3.42578125" style="90" customWidth="1"/>
    <col min="14096" max="14336" width="10.85546875" style="90"/>
    <col min="14337" max="14337" width="1" style="90" customWidth="1"/>
    <col min="14338" max="14338" width="24" style="90" customWidth="1"/>
    <col min="14339" max="14339" width="14.7109375" style="90" bestFit="1" customWidth="1"/>
    <col min="14340" max="14341" width="14.85546875" style="90" bestFit="1" customWidth="1"/>
    <col min="14342" max="14342" width="15.7109375" style="90" bestFit="1" customWidth="1"/>
    <col min="14343" max="14347" width="15.5703125" style="90" bestFit="1" customWidth="1"/>
    <col min="14348" max="14350" width="15.7109375" style="90" bestFit="1" customWidth="1"/>
    <col min="14351" max="14351" width="3.42578125" style="90" customWidth="1"/>
    <col min="14352" max="14592" width="10.85546875" style="90"/>
    <col min="14593" max="14593" width="1" style="90" customWidth="1"/>
    <col min="14594" max="14594" width="24" style="90" customWidth="1"/>
    <col min="14595" max="14595" width="14.7109375" style="90" bestFit="1" customWidth="1"/>
    <col min="14596" max="14597" width="14.85546875" style="90" bestFit="1" customWidth="1"/>
    <col min="14598" max="14598" width="15.7109375" style="90" bestFit="1" customWidth="1"/>
    <col min="14599" max="14603" width="15.5703125" style="90" bestFit="1" customWidth="1"/>
    <col min="14604" max="14606" width="15.7109375" style="90" bestFit="1" customWidth="1"/>
    <col min="14607" max="14607" width="3.42578125" style="90" customWidth="1"/>
    <col min="14608" max="14848" width="10.85546875" style="90"/>
    <col min="14849" max="14849" width="1" style="90" customWidth="1"/>
    <col min="14850" max="14850" width="24" style="90" customWidth="1"/>
    <col min="14851" max="14851" width="14.7109375" style="90" bestFit="1" customWidth="1"/>
    <col min="14852" max="14853" width="14.85546875" style="90" bestFit="1" customWidth="1"/>
    <col min="14854" max="14854" width="15.7109375" style="90" bestFit="1" customWidth="1"/>
    <col min="14855" max="14859" width="15.5703125" style="90" bestFit="1" customWidth="1"/>
    <col min="14860" max="14862" width="15.7109375" style="90" bestFit="1" customWidth="1"/>
    <col min="14863" max="14863" width="3.42578125" style="90" customWidth="1"/>
    <col min="14864" max="15104" width="10.85546875" style="90"/>
    <col min="15105" max="15105" width="1" style="90" customWidth="1"/>
    <col min="15106" max="15106" width="24" style="90" customWidth="1"/>
    <col min="15107" max="15107" width="14.7109375" style="90" bestFit="1" customWidth="1"/>
    <col min="15108" max="15109" width="14.85546875" style="90" bestFit="1" customWidth="1"/>
    <col min="15110" max="15110" width="15.7109375" style="90" bestFit="1" customWidth="1"/>
    <col min="15111" max="15115" width="15.5703125" style="90" bestFit="1" customWidth="1"/>
    <col min="15116" max="15118" width="15.7109375" style="90" bestFit="1" customWidth="1"/>
    <col min="15119" max="15119" width="3.42578125" style="90" customWidth="1"/>
    <col min="15120" max="15360" width="10.85546875" style="90"/>
    <col min="15361" max="15361" width="1" style="90" customWidth="1"/>
    <col min="15362" max="15362" width="24" style="90" customWidth="1"/>
    <col min="15363" max="15363" width="14.7109375" style="90" bestFit="1" customWidth="1"/>
    <col min="15364" max="15365" width="14.85546875" style="90" bestFit="1" customWidth="1"/>
    <col min="15366" max="15366" width="15.7109375" style="90" bestFit="1" customWidth="1"/>
    <col min="15367" max="15371" width="15.5703125" style="90" bestFit="1" customWidth="1"/>
    <col min="15372" max="15374" width="15.7109375" style="90" bestFit="1" customWidth="1"/>
    <col min="15375" max="15375" width="3.42578125" style="90" customWidth="1"/>
    <col min="15376" max="15616" width="10.85546875" style="90"/>
    <col min="15617" max="15617" width="1" style="90" customWidth="1"/>
    <col min="15618" max="15618" width="24" style="90" customWidth="1"/>
    <col min="15619" max="15619" width="14.7109375" style="90" bestFit="1" customWidth="1"/>
    <col min="15620" max="15621" width="14.85546875" style="90" bestFit="1" customWidth="1"/>
    <col min="15622" max="15622" width="15.7109375" style="90" bestFit="1" customWidth="1"/>
    <col min="15623" max="15627" width="15.5703125" style="90" bestFit="1" customWidth="1"/>
    <col min="15628" max="15630" width="15.7109375" style="90" bestFit="1" customWidth="1"/>
    <col min="15631" max="15631" width="3.42578125" style="90" customWidth="1"/>
    <col min="15632" max="15872" width="10.85546875" style="90"/>
    <col min="15873" max="15873" width="1" style="90" customWidth="1"/>
    <col min="15874" max="15874" width="24" style="90" customWidth="1"/>
    <col min="15875" max="15875" width="14.7109375" style="90" bestFit="1" customWidth="1"/>
    <col min="15876" max="15877" width="14.85546875" style="90" bestFit="1" customWidth="1"/>
    <col min="15878" max="15878" width="15.7109375" style="90" bestFit="1" customWidth="1"/>
    <col min="15879" max="15883" width="15.5703125" style="90" bestFit="1" customWidth="1"/>
    <col min="15884" max="15886" width="15.7109375" style="90" bestFit="1" customWidth="1"/>
    <col min="15887" max="15887" width="3.42578125" style="90" customWidth="1"/>
    <col min="15888" max="16128" width="10.85546875" style="90"/>
    <col min="16129" max="16129" width="1" style="90" customWidth="1"/>
    <col min="16130" max="16130" width="24" style="90" customWidth="1"/>
    <col min="16131" max="16131" width="14.7109375" style="90" bestFit="1" customWidth="1"/>
    <col min="16132" max="16133" width="14.85546875" style="90" bestFit="1" customWidth="1"/>
    <col min="16134" max="16134" width="15.7109375" style="90" bestFit="1" customWidth="1"/>
    <col min="16135" max="16139" width="15.5703125" style="90" bestFit="1" customWidth="1"/>
    <col min="16140" max="16142" width="15.7109375" style="90" bestFit="1" customWidth="1"/>
    <col min="16143" max="16143" width="3.42578125" style="90" customWidth="1"/>
    <col min="16144" max="16384" width="10.85546875" style="90"/>
  </cols>
  <sheetData>
    <row r="1" spans="2:15" x14ac:dyDescent="0.2"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2:15" x14ac:dyDescent="0.2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x14ac:dyDescent="0.2"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ht="20.25" x14ac:dyDescent="0.3">
      <c r="B4" s="1823" t="s">
        <v>1079</v>
      </c>
      <c r="C4" s="1823"/>
      <c r="D4" s="1823"/>
      <c r="E4" s="1823"/>
      <c r="F4" s="1823"/>
      <c r="G4" s="1823"/>
      <c r="H4" s="1823"/>
      <c r="I4" s="1823"/>
      <c r="J4" s="1823"/>
      <c r="K4" s="1823"/>
      <c r="L4" s="1823"/>
      <c r="M4" s="1823"/>
      <c r="N4" s="1823"/>
      <c r="O4" s="1823"/>
    </row>
    <row r="5" spans="2:15" x14ac:dyDescent="0.2">
      <c r="B5" s="204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174"/>
    </row>
    <row r="6" spans="2:15" ht="13.5" thickBot="1" x14ac:dyDescent="0.25">
      <c r="B6" s="173"/>
      <c r="C6" s="174"/>
      <c r="D6" s="174"/>
      <c r="E6" s="173"/>
      <c r="F6" s="173"/>
      <c r="G6" s="173"/>
      <c r="H6" s="174"/>
      <c r="I6" s="174"/>
      <c r="J6" s="174"/>
      <c r="K6" s="174"/>
      <c r="L6" s="174"/>
      <c r="M6" s="176" t="s">
        <v>189</v>
      </c>
      <c r="N6" s="176"/>
      <c r="O6" s="174"/>
    </row>
    <row r="7" spans="2:15" x14ac:dyDescent="0.2">
      <c r="B7" s="206" t="s">
        <v>190</v>
      </c>
      <c r="C7" s="207" t="s">
        <v>191</v>
      </c>
      <c r="D7" s="207" t="s">
        <v>192</v>
      </c>
      <c r="E7" s="208" t="s">
        <v>193</v>
      </c>
      <c r="F7" s="207" t="s">
        <v>194</v>
      </c>
      <c r="G7" s="209" t="s">
        <v>195</v>
      </c>
      <c r="H7" s="207" t="s">
        <v>196</v>
      </c>
      <c r="I7" s="207" t="s">
        <v>203</v>
      </c>
      <c r="J7" s="207" t="s">
        <v>204</v>
      </c>
      <c r="K7" s="207" t="s">
        <v>197</v>
      </c>
      <c r="L7" s="207" t="s">
        <v>198</v>
      </c>
      <c r="M7" s="207" t="s">
        <v>199</v>
      </c>
      <c r="N7" s="210" t="s">
        <v>200</v>
      </c>
      <c r="O7" s="174"/>
    </row>
    <row r="8" spans="2:15" x14ac:dyDescent="0.2">
      <c r="B8" s="211" t="s">
        <v>1080</v>
      </c>
      <c r="C8" s="212">
        <f>'Comparación Vtas mes 2014-2015'!B8</f>
        <v>226661.28</v>
      </c>
      <c r="D8" s="213">
        <f>C8+'Comparación Vtas mes 2014-2015'!C8</f>
        <v>412427.34</v>
      </c>
      <c r="E8" s="213">
        <f>D8+'Comparación Vtas mes 2014-2015'!D8</f>
        <v>637380.10000000009</v>
      </c>
      <c r="F8" s="213">
        <f>E8+'Comparación Vtas mes 2014-2015'!E8</f>
        <v>827679.16</v>
      </c>
      <c r="G8" s="213">
        <f>F8+'Comparación Vtas mes 2014-2015'!F8</f>
        <v>1033293.14</v>
      </c>
      <c r="H8" s="213">
        <f>G8+'Comparación Vtas mes 2014-2015'!G8</f>
        <v>1302672.46</v>
      </c>
      <c r="I8" s="213">
        <f>H8+'Comparación Vtas mes 2014-2015'!H8</f>
        <v>1581564.6600000001</v>
      </c>
      <c r="J8" s="213">
        <f>I8+'Comparación Vtas mes 2014-2015'!I8</f>
        <v>1633179.4400000002</v>
      </c>
      <c r="K8" s="213">
        <f>J8+'Comparación Vtas mes 2014-2015'!J8</f>
        <v>1909930.4300000002</v>
      </c>
      <c r="L8" s="213">
        <f>K8+'Comparación Vtas mes 2014-2015'!K8</f>
        <v>2162947.2600000002</v>
      </c>
      <c r="M8" s="213">
        <f>L8+'Comparación Vtas mes 2014-2015'!L8</f>
        <v>2414626.0300000003</v>
      </c>
      <c r="N8" s="214">
        <f>M8+'Comparación Vtas mes 2014-2015'!M8</f>
        <v>2505026.5500000003</v>
      </c>
      <c r="O8" s="174"/>
    </row>
    <row r="9" spans="2:15" x14ac:dyDescent="0.2">
      <c r="B9" s="211" t="s">
        <v>1081</v>
      </c>
      <c r="C9" s="212">
        <f>'Comparación Vtas mes 2014-2015'!B9</f>
        <v>238460.23000000004</v>
      </c>
      <c r="D9" s="213">
        <f>C9+'Comparación Vtas mes 2014-2015'!C9</f>
        <v>453630.41000000003</v>
      </c>
      <c r="E9" s="213">
        <f>D9+'Comparación Vtas mes 2014-2015'!D9</f>
        <v>674956.13000000012</v>
      </c>
      <c r="F9" s="213">
        <f>E9+'Comparación Vtas mes 2014-2015'!E9</f>
        <v>888886.17000000016</v>
      </c>
      <c r="G9" s="213">
        <f>F9+'Comparación Vtas mes 2014-2015'!F9</f>
        <v>1137915.8600000001</v>
      </c>
      <c r="H9" s="213">
        <f>G9+'Comparación Vtas mes 2014-2015'!G9</f>
        <v>1438044.35</v>
      </c>
      <c r="I9" s="213">
        <f>H9+'Comparación Vtas mes 2014-2015'!H9</f>
        <v>1762155.7200000002</v>
      </c>
      <c r="J9" s="213">
        <f>I9+'Comparación Vtas mes 2014-2015'!I9</f>
        <v>1822551.9100000001</v>
      </c>
      <c r="K9" s="213">
        <f>J9+'Comparación Vtas mes 2014-2015'!J9</f>
        <v>2108251.67</v>
      </c>
      <c r="L9" s="213">
        <f>K9+'Comparación Vtas mes 2014-2015'!K9</f>
        <v>2381941.2199999997</v>
      </c>
      <c r="M9" s="213">
        <f>L9+'Comparación Vtas mes 2014-2015'!L9</f>
        <v>2630992.63</v>
      </c>
      <c r="N9" s="213">
        <f>M9+'Comparación Vtas mes 2014-2015'!M9</f>
        <v>2798070.9699999997</v>
      </c>
      <c r="O9" s="174"/>
    </row>
    <row r="10" spans="2:15" ht="13.5" thickBot="1" x14ac:dyDescent="0.25">
      <c r="B10" s="184" t="s">
        <v>1082</v>
      </c>
      <c r="C10" s="185">
        <f>((C9/C8)-1)</f>
        <v>5.2055428258412917E-2</v>
      </c>
      <c r="D10" s="185">
        <f t="shared" ref="D10:N10" si="0">((D9/D8)-1)</f>
        <v>9.9903827908208065E-2</v>
      </c>
      <c r="E10" s="185">
        <f t="shared" si="0"/>
        <v>5.8953880110157231E-2</v>
      </c>
      <c r="F10" s="185">
        <f t="shared" si="0"/>
        <v>7.3950164457445178E-2</v>
      </c>
      <c r="G10" s="185">
        <f t="shared" si="0"/>
        <v>0.10125173191414016</v>
      </c>
      <c r="H10" s="185">
        <f t="shared" si="0"/>
        <v>0.10391859362713496</v>
      </c>
      <c r="I10" s="185">
        <f t="shared" si="0"/>
        <v>0.11418506278459706</v>
      </c>
      <c r="J10" s="185">
        <f t="shared" si="0"/>
        <v>0.1159532537343233</v>
      </c>
      <c r="K10" s="185">
        <f t="shared" si="0"/>
        <v>0.10383689211130043</v>
      </c>
      <c r="L10" s="185">
        <f t="shared" si="0"/>
        <v>0.10124794258737468</v>
      </c>
      <c r="M10" s="185">
        <f t="shared" si="0"/>
        <v>8.9606670893048967E-2</v>
      </c>
      <c r="N10" s="215">
        <f t="shared" si="0"/>
        <v>0.11698256052415879</v>
      </c>
      <c r="O10" s="174"/>
    </row>
    <row r="11" spans="2:15" x14ac:dyDescent="0.2">
      <c r="B11" s="188" t="s">
        <v>1083</v>
      </c>
      <c r="C11" s="379">
        <f>DATOS!D4</f>
        <v>0</v>
      </c>
      <c r="D11" s="379">
        <f>DATOS!F4+'Comparación Acum. Vtas 2014-15'!C11</f>
        <v>0</v>
      </c>
      <c r="E11" s="379">
        <f>DATOS!H4+'Comparación Acum. Vtas 2014-15'!D11</f>
        <v>0</v>
      </c>
      <c r="F11" s="379">
        <f>DATOS!J4+'Comparación Acum. Vtas 2014-15'!E11</f>
        <v>0</v>
      </c>
      <c r="G11" s="379">
        <f>DATOS!L4+'Comparación Acum. Vtas 2014-15'!F11</f>
        <v>0</v>
      </c>
      <c r="H11" s="379">
        <f>DATOS!N4+'Comparación Acum. Vtas 2014-15'!G11</f>
        <v>0</v>
      </c>
      <c r="I11" s="379">
        <f>DATOS!P4+'Comparación Acum. Vtas 2014-15'!H11</f>
        <v>0</v>
      </c>
      <c r="J11" s="379">
        <f>DATOS!R4+'Comparación Acum. Vtas 2014-15'!I11</f>
        <v>0</v>
      </c>
      <c r="K11" s="379">
        <f>DATOS!T4+'Comparación Acum. Vtas 2014-15'!J11</f>
        <v>0</v>
      </c>
      <c r="L11" s="379">
        <f>DATOS!V4+'Comparación Acum. Vtas 2014-15'!K11</f>
        <v>0</v>
      </c>
      <c r="M11" s="379">
        <f>DATOS!X4+'Comparación Acum. Vtas 2014-15'!L11</f>
        <v>0</v>
      </c>
      <c r="N11" s="380">
        <f>DATOS!Z4+'Comparación Acum. Vtas 2014-15'!M11</f>
        <v>0</v>
      </c>
      <c r="O11" s="174"/>
    </row>
    <row r="12" spans="2:15" hidden="1" x14ac:dyDescent="0.2">
      <c r="B12" s="216" t="s">
        <v>205</v>
      </c>
      <c r="C12" s="193"/>
      <c r="D12" s="217"/>
      <c r="E12" s="218"/>
      <c r="F12" s="193"/>
      <c r="G12" s="217"/>
      <c r="H12" s="193"/>
      <c r="I12" s="193"/>
      <c r="J12" s="193"/>
      <c r="K12" s="193"/>
      <c r="L12" s="193"/>
      <c r="M12" s="193"/>
      <c r="N12" s="219"/>
      <c r="O12" s="174"/>
    </row>
    <row r="13" spans="2:15" ht="13.5" thickBot="1" x14ac:dyDescent="0.25">
      <c r="B13" s="220" t="s">
        <v>206</v>
      </c>
      <c r="C13" s="221" t="e">
        <f t="shared" ref="C13:N13" si="1">((C9/C11)-1)</f>
        <v>#DIV/0!</v>
      </c>
      <c r="D13" s="221" t="e">
        <f t="shared" si="1"/>
        <v>#DIV/0!</v>
      </c>
      <c r="E13" s="221" t="e">
        <f t="shared" si="1"/>
        <v>#DIV/0!</v>
      </c>
      <c r="F13" s="221" t="e">
        <f t="shared" si="1"/>
        <v>#DIV/0!</v>
      </c>
      <c r="G13" s="221" t="e">
        <f t="shared" si="1"/>
        <v>#DIV/0!</v>
      </c>
      <c r="H13" s="221" t="e">
        <f t="shared" si="1"/>
        <v>#DIV/0!</v>
      </c>
      <c r="I13" s="221" t="e">
        <f t="shared" si="1"/>
        <v>#DIV/0!</v>
      </c>
      <c r="J13" s="221" t="e">
        <f t="shared" si="1"/>
        <v>#DIV/0!</v>
      </c>
      <c r="K13" s="221" t="e">
        <f t="shared" si="1"/>
        <v>#DIV/0!</v>
      </c>
      <c r="L13" s="221" t="e">
        <f t="shared" si="1"/>
        <v>#DIV/0!</v>
      </c>
      <c r="M13" s="221" t="e">
        <f t="shared" si="1"/>
        <v>#DIV/0!</v>
      </c>
      <c r="N13" s="215" t="e">
        <f t="shared" si="1"/>
        <v>#DIV/0!</v>
      </c>
      <c r="O13" s="200"/>
    </row>
    <row r="14" spans="2:15" x14ac:dyDescent="0.2"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/>
    </row>
    <row r="15" spans="2:15" x14ac:dyDescent="0.2">
      <c r="B15" s="173"/>
      <c r="C15" s="173"/>
      <c r="D15" s="173"/>
      <c r="E15" s="173"/>
      <c r="F15" s="173"/>
      <c r="G15" s="173"/>
      <c r="H15" s="174"/>
      <c r="I15" s="173"/>
      <c r="J15" s="173"/>
      <c r="K15" s="174"/>
      <c r="L15" s="174"/>
      <c r="M15" s="174"/>
      <c r="N15" s="174"/>
      <c r="O15" s="174"/>
    </row>
    <row r="16" spans="2:15" x14ac:dyDescent="0.2">
      <c r="B16" s="173"/>
      <c r="C16" s="173"/>
      <c r="D16" s="173"/>
      <c r="E16" s="173"/>
      <c r="F16" s="173"/>
      <c r="G16" s="173"/>
      <c r="H16" s="174"/>
      <c r="I16" s="173"/>
      <c r="J16" s="173"/>
      <c r="K16" s="174"/>
      <c r="L16" s="174"/>
      <c r="M16" s="174"/>
      <c r="N16" s="174"/>
      <c r="O16" s="174"/>
    </row>
    <row r="17" spans="2:15" x14ac:dyDescent="0.2">
      <c r="B17" s="173"/>
      <c r="C17" s="173"/>
      <c r="D17" s="173"/>
      <c r="E17" s="173"/>
      <c r="F17" s="173"/>
      <c r="G17" s="173"/>
      <c r="H17" s="174"/>
      <c r="I17" s="173"/>
      <c r="J17" s="173"/>
      <c r="K17" s="174"/>
      <c r="L17" s="174"/>
      <c r="M17" s="174"/>
      <c r="N17" s="174"/>
      <c r="O17" s="174"/>
    </row>
    <row r="18" spans="2:15" x14ac:dyDescent="0.2">
      <c r="B18" s="173"/>
      <c r="C18" s="173"/>
      <c r="D18" s="173"/>
      <c r="E18" s="173"/>
      <c r="F18" s="173"/>
      <c r="G18" s="173"/>
      <c r="H18" s="174"/>
      <c r="I18" s="173"/>
      <c r="J18" s="173"/>
      <c r="K18" s="174"/>
      <c r="L18" s="174"/>
      <c r="M18" s="174"/>
      <c r="N18" s="174"/>
      <c r="O18" s="174"/>
    </row>
    <row r="19" spans="2:15" x14ac:dyDescent="0.2">
      <c r="B19" s="173"/>
      <c r="C19" s="173"/>
      <c r="D19" s="173"/>
      <c r="E19" s="173"/>
      <c r="F19" s="173"/>
      <c r="G19" s="173"/>
      <c r="H19" s="174"/>
      <c r="I19" s="173"/>
      <c r="J19" s="173"/>
      <c r="K19" s="174"/>
      <c r="L19" s="174"/>
      <c r="M19" s="174"/>
      <c r="N19" s="174"/>
      <c r="O19" s="174"/>
    </row>
    <row r="20" spans="2:15" x14ac:dyDescent="0.2">
      <c r="B20" s="173"/>
      <c r="C20" s="173"/>
      <c r="D20" s="173"/>
      <c r="E20" s="173"/>
      <c r="F20" s="173"/>
      <c r="G20" s="173"/>
      <c r="H20" s="174"/>
      <c r="I20" s="173"/>
      <c r="J20" s="173"/>
      <c r="K20" s="174"/>
      <c r="L20" s="174"/>
      <c r="M20" s="174"/>
      <c r="N20" s="174"/>
      <c r="O20" s="174"/>
    </row>
    <row r="21" spans="2:15" x14ac:dyDescent="0.2">
      <c r="B21" s="173"/>
      <c r="C21" s="173"/>
      <c r="D21" s="173"/>
      <c r="E21" s="173"/>
      <c r="F21" s="173"/>
      <c r="G21" s="173"/>
      <c r="H21" s="174"/>
      <c r="I21" s="173"/>
      <c r="J21" s="173"/>
      <c r="K21" s="174"/>
      <c r="L21" s="174"/>
      <c r="M21" s="174"/>
      <c r="N21" s="174"/>
      <c r="O21" s="174"/>
    </row>
    <row r="22" spans="2:15" x14ac:dyDescent="0.2">
      <c r="B22" s="173"/>
      <c r="C22" s="173"/>
      <c r="D22" s="173"/>
      <c r="E22" s="174"/>
      <c r="F22" s="174"/>
      <c r="G22" s="174"/>
      <c r="H22" s="174"/>
      <c r="I22" s="173"/>
      <c r="J22" s="173"/>
      <c r="K22" s="174"/>
      <c r="L22" s="174"/>
      <c r="M22" s="174"/>
      <c r="N22" s="174"/>
      <c r="O22" s="174"/>
    </row>
    <row r="23" spans="2:15" x14ac:dyDescent="0.2">
      <c r="B23" s="173"/>
      <c r="C23" s="173"/>
      <c r="D23" s="173"/>
      <c r="E23" s="174"/>
      <c r="F23" s="174"/>
      <c r="G23" s="174"/>
      <c r="H23" s="174"/>
      <c r="I23" s="173"/>
      <c r="J23" s="173"/>
      <c r="K23" s="174"/>
      <c r="L23" s="174"/>
      <c r="M23" s="174"/>
      <c r="N23" s="174"/>
      <c r="O23" s="174"/>
    </row>
    <row r="24" spans="2:15" x14ac:dyDescent="0.2">
      <c r="B24" s="173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2:15" x14ac:dyDescent="0.2"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2:15" x14ac:dyDescent="0.2"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2:15" x14ac:dyDescent="0.2">
      <c r="B27" s="173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222"/>
      <c r="O27" s="174"/>
    </row>
    <row r="28" spans="2:15" x14ac:dyDescent="0.2">
      <c r="B28" s="173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</row>
    <row r="29" spans="2:15" x14ac:dyDescent="0.2">
      <c r="B29" s="173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223"/>
      <c r="O29" s="174"/>
    </row>
    <row r="30" spans="2:15" x14ac:dyDescent="0.2"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</row>
    <row r="31" spans="2:15" x14ac:dyDescent="0.2"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</row>
    <row r="32" spans="2:15" x14ac:dyDescent="0.2">
      <c r="B32" s="173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2:15" x14ac:dyDescent="0.2"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</row>
    <row r="34" spans="2:15" x14ac:dyDescent="0.2"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</row>
    <row r="35" spans="2:15" x14ac:dyDescent="0.2">
      <c r="B35" s="173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</row>
    <row r="36" spans="2:15" x14ac:dyDescent="0.2">
      <c r="B36" s="173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</row>
    <row r="37" spans="2:15" x14ac:dyDescent="0.2">
      <c r="B37" s="173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</row>
    <row r="38" spans="2:15" x14ac:dyDescent="0.2">
      <c r="B38" s="173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3"/>
      <c r="O38" s="174"/>
    </row>
    <row r="39" spans="2:15" x14ac:dyDescent="0.2">
      <c r="B39" s="173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3"/>
      <c r="O39" s="174"/>
    </row>
    <row r="40" spans="2:15" x14ac:dyDescent="0.2">
      <c r="B40" s="173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3"/>
      <c r="O40" s="174"/>
    </row>
    <row r="41" spans="2:15" x14ac:dyDescent="0.2">
      <c r="B41" s="173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3"/>
      <c r="O41" s="174"/>
    </row>
    <row r="42" spans="2:15" x14ac:dyDescent="0.2">
      <c r="B42" s="173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3"/>
      <c r="O42" s="174"/>
    </row>
    <row r="43" spans="2:15" x14ac:dyDescent="0.2">
      <c r="B43" s="173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3"/>
      <c r="O43" s="174"/>
    </row>
    <row r="44" spans="2:15" x14ac:dyDescent="0.2">
      <c r="B44" s="17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3"/>
      <c r="O44" s="174"/>
    </row>
    <row r="45" spans="2:15" x14ac:dyDescent="0.2">
      <c r="B45" s="173"/>
      <c r="C45" s="174"/>
      <c r="D45" s="174"/>
      <c r="E45" s="173"/>
      <c r="F45" s="173"/>
      <c r="G45" s="173"/>
      <c r="H45" s="174"/>
      <c r="I45" s="174"/>
      <c r="J45" s="174"/>
      <c r="K45" s="174"/>
      <c r="L45" s="174"/>
      <c r="M45" s="174"/>
      <c r="N45" s="173"/>
      <c r="O45" s="174"/>
    </row>
    <row r="46" spans="2:15" x14ac:dyDescent="0.2">
      <c r="B46" s="173"/>
      <c r="C46" s="174"/>
      <c r="D46" s="174"/>
      <c r="E46" s="173"/>
      <c r="F46" s="173"/>
      <c r="G46" s="173"/>
      <c r="H46" s="174"/>
      <c r="I46" s="174"/>
      <c r="J46" s="174"/>
      <c r="K46" s="174"/>
      <c r="L46" s="174"/>
      <c r="M46" s="174"/>
      <c r="N46" s="173"/>
      <c r="O46" s="174"/>
    </row>
    <row r="47" spans="2:15" x14ac:dyDescent="0.2">
      <c r="B47" s="173"/>
      <c r="C47" s="174"/>
      <c r="D47" s="173"/>
      <c r="E47" s="173"/>
      <c r="F47" s="173"/>
      <c r="G47" s="173"/>
      <c r="H47" s="174"/>
      <c r="I47" s="173"/>
      <c r="J47" s="174"/>
      <c r="K47" s="174"/>
      <c r="L47" s="174"/>
      <c r="M47" s="174"/>
      <c r="N47" s="173"/>
      <c r="O47" s="174"/>
    </row>
    <row r="48" spans="2:15" x14ac:dyDescent="0.2">
      <c r="B48" s="173"/>
      <c r="C48" s="174"/>
      <c r="D48" s="173"/>
      <c r="E48" s="173"/>
      <c r="F48" s="173"/>
      <c r="G48" s="173"/>
      <c r="H48" s="174"/>
      <c r="I48" s="173"/>
      <c r="J48" s="174"/>
      <c r="K48" s="174"/>
      <c r="L48" s="174"/>
      <c r="M48" s="174"/>
      <c r="N48" s="173"/>
      <c r="O48" s="174"/>
    </row>
    <row r="49" spans="2:15" x14ac:dyDescent="0.2">
      <c r="B49" s="173"/>
      <c r="C49" s="174"/>
      <c r="D49" s="173"/>
      <c r="E49" s="173"/>
      <c r="F49" s="173"/>
      <c r="G49" s="173"/>
      <c r="H49" s="174"/>
      <c r="I49" s="173"/>
      <c r="J49" s="174"/>
      <c r="K49" s="174"/>
      <c r="L49" s="174"/>
      <c r="M49" s="174"/>
      <c r="N49" s="173"/>
      <c r="O49" s="174"/>
    </row>
    <row r="50" spans="2:15" x14ac:dyDescent="0.2">
      <c r="B50" s="173"/>
      <c r="C50" s="174"/>
      <c r="D50" s="173"/>
      <c r="E50" s="173"/>
      <c r="F50" s="173"/>
      <c r="G50" s="173"/>
      <c r="H50" s="174"/>
      <c r="I50" s="173"/>
      <c r="J50" s="174"/>
      <c r="K50" s="174"/>
      <c r="L50" s="174"/>
      <c r="M50" s="174"/>
      <c r="N50" s="173"/>
      <c r="O50" s="174"/>
    </row>
    <row r="51" spans="2:15" x14ac:dyDescent="0.2">
      <c r="B51" s="173"/>
      <c r="C51" s="174"/>
      <c r="D51" s="173"/>
      <c r="E51" s="173"/>
      <c r="F51" s="173"/>
      <c r="G51" s="173"/>
      <c r="H51" s="174"/>
      <c r="I51" s="173"/>
      <c r="J51" s="174"/>
      <c r="K51" s="174"/>
      <c r="L51" s="174"/>
      <c r="M51" s="174"/>
      <c r="N51" s="173"/>
      <c r="O51" s="174"/>
    </row>
    <row r="52" spans="2:15" x14ac:dyDescent="0.2">
      <c r="B52" s="173"/>
      <c r="C52" s="174"/>
      <c r="D52" s="173"/>
      <c r="E52" s="173"/>
      <c r="F52" s="173"/>
      <c r="G52" s="173"/>
      <c r="H52" s="174"/>
      <c r="I52" s="173"/>
      <c r="J52" s="174"/>
      <c r="K52" s="174"/>
      <c r="L52" s="174"/>
      <c r="M52" s="174"/>
      <c r="N52" s="173"/>
      <c r="O52" s="174"/>
    </row>
    <row r="53" spans="2:15" x14ac:dyDescent="0.2">
      <c r="B53" s="173"/>
      <c r="C53" s="174"/>
      <c r="D53" s="173"/>
      <c r="E53" s="173"/>
      <c r="F53" s="173"/>
      <c r="G53" s="173"/>
      <c r="H53" s="174"/>
      <c r="I53" s="173"/>
      <c r="J53" s="174"/>
      <c r="K53" s="174"/>
      <c r="L53" s="174"/>
      <c r="M53" s="174"/>
      <c r="N53" s="173"/>
      <c r="O53" s="174"/>
    </row>
    <row r="54" spans="2:15" x14ac:dyDescent="0.2">
      <c r="B54" s="173"/>
      <c r="C54" s="174"/>
      <c r="D54" s="173"/>
      <c r="E54" s="173"/>
      <c r="F54" s="173"/>
      <c r="G54" s="173"/>
      <c r="H54" s="174"/>
      <c r="I54" s="173"/>
      <c r="J54" s="174"/>
      <c r="K54" s="174"/>
      <c r="L54" s="174"/>
      <c r="M54" s="174"/>
      <c r="N54" s="173"/>
      <c r="O54" s="174"/>
    </row>
    <row r="55" spans="2:15" x14ac:dyDescent="0.2">
      <c r="B55" s="173"/>
      <c r="C55" s="174"/>
      <c r="D55" s="173"/>
      <c r="E55" s="173"/>
      <c r="F55" s="173"/>
      <c r="G55" s="173"/>
      <c r="H55" s="174"/>
      <c r="I55" s="173"/>
      <c r="J55" s="174"/>
      <c r="K55" s="174"/>
      <c r="L55" s="174"/>
      <c r="M55" s="174"/>
      <c r="N55" s="173"/>
      <c r="O55" s="174"/>
    </row>
    <row r="56" spans="2:15" ht="11.25" customHeight="1" x14ac:dyDescent="0.2">
      <c r="B56" s="173"/>
      <c r="C56" s="174"/>
      <c r="D56" s="173"/>
      <c r="E56" s="173"/>
      <c r="F56" s="173"/>
      <c r="G56" s="173"/>
      <c r="H56" s="174"/>
      <c r="I56" s="173"/>
      <c r="J56" s="174"/>
      <c r="K56" s="174"/>
      <c r="L56" s="174"/>
      <c r="M56" s="174"/>
      <c r="N56" s="173"/>
      <c r="O56" s="174"/>
    </row>
    <row r="57" spans="2:15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4"/>
    </row>
    <row r="58" spans="2:15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4"/>
    </row>
  </sheetData>
  <mergeCells count="1">
    <mergeCell ref="B4:O4"/>
  </mergeCells>
  <printOptions horizontalCentered="1"/>
  <pageMargins left="0.25" right="0.39" top="0.82" bottom="1" header="0" footer="0.33"/>
  <pageSetup paperSize="9" scale="66" orientation="landscape" horizontalDpi="4294967292" r:id="rId1"/>
  <headerFooter alignWithMargins="0">
    <oddFooter>&amp;R&amp;12Pág..4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>
    <tabColor rgb="FF79AB9F"/>
  </sheetPr>
  <dimension ref="A1:AF143"/>
  <sheetViews>
    <sheetView topLeftCell="A7" workbookViewId="0">
      <pane xSplit="1" topLeftCell="B1" activePane="topRight" state="frozen"/>
      <selection activeCell="F21" sqref="F21:I21"/>
      <selection pane="topRight" activeCell="C27" sqref="C27"/>
    </sheetView>
  </sheetViews>
  <sheetFormatPr baseColWidth="10" defaultColWidth="11.42578125" defaultRowHeight="12.75" x14ac:dyDescent="0.2"/>
  <cols>
    <col min="1" max="1" width="33.5703125" style="143" customWidth="1"/>
    <col min="2" max="2" width="9.7109375" style="143" customWidth="1"/>
    <col min="3" max="3" width="8.85546875" style="143" customWidth="1"/>
    <col min="4" max="4" width="8.42578125" style="143" customWidth="1"/>
    <col min="5" max="5" width="7.28515625" style="143" customWidth="1"/>
    <col min="6" max="6" width="8.85546875" style="143" bestFit="1" customWidth="1"/>
    <col min="7" max="7" width="9.140625" style="143" customWidth="1"/>
    <col min="8" max="8" width="6.28515625" style="143" customWidth="1"/>
    <col min="9" max="9" width="8.5703125" style="143" customWidth="1"/>
    <col min="10" max="10" width="9.85546875" style="143" customWidth="1"/>
    <col min="11" max="11" width="8.5703125" style="143" customWidth="1"/>
    <col min="12" max="12" width="8.85546875" style="143" customWidth="1"/>
    <col min="13" max="13" width="9.7109375" style="143" customWidth="1"/>
    <col min="14" max="14" width="6.28515625" style="143" customWidth="1"/>
    <col min="15" max="16" width="8.28515625" style="143" customWidth="1"/>
    <col min="17" max="17" width="6.42578125" style="143" customWidth="1"/>
    <col min="18" max="18" width="8.5703125" style="143" customWidth="1"/>
    <col min="19" max="19" width="9" style="143" customWidth="1"/>
    <col min="20" max="20" width="12.7109375" style="143" customWidth="1"/>
    <col min="21" max="21" width="7.42578125" style="143" bestFit="1" customWidth="1"/>
    <col min="22" max="23" width="12.7109375" style="143" customWidth="1"/>
    <col min="24" max="24" width="6.140625" style="143" bestFit="1" customWidth="1"/>
    <col min="25" max="26" width="12.7109375" style="143" customWidth="1"/>
    <col min="27" max="27" width="6.140625" style="143" bestFit="1" customWidth="1"/>
    <col min="28" max="31" width="12.7109375" style="143" customWidth="1"/>
    <col min="32" max="256" width="11.42578125" style="143"/>
    <col min="257" max="257" width="29.5703125" style="143" customWidth="1"/>
    <col min="258" max="258" width="9.7109375" style="143" customWidth="1"/>
    <col min="259" max="259" width="6.85546875" style="143" customWidth="1"/>
    <col min="260" max="260" width="8.42578125" style="143" customWidth="1"/>
    <col min="261" max="261" width="7.28515625" style="143" customWidth="1"/>
    <col min="262" max="262" width="8.85546875" style="143" bestFit="1" customWidth="1"/>
    <col min="263" max="263" width="7.42578125" style="143" bestFit="1" customWidth="1"/>
    <col min="264" max="264" width="6.28515625" style="143" customWidth="1"/>
    <col min="265" max="265" width="8.5703125" style="143" customWidth="1"/>
    <col min="266" max="266" width="8" style="143" customWidth="1"/>
    <col min="267" max="267" width="8.5703125" style="143" customWidth="1"/>
    <col min="268" max="268" width="8.85546875" style="143" customWidth="1"/>
    <col min="269" max="269" width="8" style="143" customWidth="1"/>
    <col min="270" max="270" width="6.28515625" style="143" customWidth="1"/>
    <col min="271" max="271" width="8.28515625" style="143" customWidth="1"/>
    <col min="272" max="272" width="6.85546875" style="143" customWidth="1"/>
    <col min="273" max="273" width="6.42578125" style="143" customWidth="1"/>
    <col min="274" max="274" width="8.5703125" style="143" customWidth="1"/>
    <col min="275" max="275" width="9" style="143" customWidth="1"/>
    <col min="276" max="276" width="12.7109375" style="143" customWidth="1"/>
    <col min="277" max="277" width="7.42578125" style="143" bestFit="1" customWidth="1"/>
    <col min="278" max="279" width="12.7109375" style="143" customWidth="1"/>
    <col min="280" max="280" width="6.140625" style="143" bestFit="1" customWidth="1"/>
    <col min="281" max="282" width="12.7109375" style="143" customWidth="1"/>
    <col min="283" max="283" width="6.140625" style="143" bestFit="1" customWidth="1"/>
    <col min="284" max="287" width="12.7109375" style="143" customWidth="1"/>
    <col min="288" max="512" width="11.42578125" style="143"/>
    <col min="513" max="513" width="29.5703125" style="143" customWidth="1"/>
    <col min="514" max="514" width="9.7109375" style="143" customWidth="1"/>
    <col min="515" max="515" width="6.85546875" style="143" customWidth="1"/>
    <col min="516" max="516" width="8.42578125" style="143" customWidth="1"/>
    <col min="517" max="517" width="7.28515625" style="143" customWidth="1"/>
    <col min="518" max="518" width="8.85546875" style="143" bestFit="1" customWidth="1"/>
    <col min="519" max="519" width="7.42578125" style="143" bestFit="1" customWidth="1"/>
    <col min="520" max="520" width="6.28515625" style="143" customWidth="1"/>
    <col min="521" max="521" width="8.5703125" style="143" customWidth="1"/>
    <col min="522" max="522" width="8" style="143" customWidth="1"/>
    <col min="523" max="523" width="8.5703125" style="143" customWidth="1"/>
    <col min="524" max="524" width="8.85546875" style="143" customWidth="1"/>
    <col min="525" max="525" width="8" style="143" customWidth="1"/>
    <col min="526" max="526" width="6.28515625" style="143" customWidth="1"/>
    <col min="527" max="527" width="8.28515625" style="143" customWidth="1"/>
    <col min="528" max="528" width="6.85546875" style="143" customWidth="1"/>
    <col min="529" max="529" width="6.42578125" style="143" customWidth="1"/>
    <col min="530" max="530" width="8.5703125" style="143" customWidth="1"/>
    <col min="531" max="531" width="9" style="143" customWidth="1"/>
    <col min="532" max="532" width="12.7109375" style="143" customWidth="1"/>
    <col min="533" max="533" width="7.42578125" style="143" bestFit="1" customWidth="1"/>
    <col min="534" max="535" width="12.7109375" style="143" customWidth="1"/>
    <col min="536" max="536" width="6.140625" style="143" bestFit="1" customWidth="1"/>
    <col min="537" max="538" width="12.7109375" style="143" customWidth="1"/>
    <col min="539" max="539" width="6.140625" style="143" bestFit="1" customWidth="1"/>
    <col min="540" max="543" width="12.7109375" style="143" customWidth="1"/>
    <col min="544" max="768" width="11.42578125" style="143"/>
    <col min="769" max="769" width="29.5703125" style="143" customWidth="1"/>
    <col min="770" max="770" width="9.7109375" style="143" customWidth="1"/>
    <col min="771" max="771" width="6.85546875" style="143" customWidth="1"/>
    <col min="772" max="772" width="8.42578125" style="143" customWidth="1"/>
    <col min="773" max="773" width="7.28515625" style="143" customWidth="1"/>
    <col min="774" max="774" width="8.85546875" style="143" bestFit="1" customWidth="1"/>
    <col min="775" max="775" width="7.42578125" style="143" bestFit="1" customWidth="1"/>
    <col min="776" max="776" width="6.28515625" style="143" customWidth="1"/>
    <col min="777" max="777" width="8.5703125" style="143" customWidth="1"/>
    <col min="778" max="778" width="8" style="143" customWidth="1"/>
    <col min="779" max="779" width="8.5703125" style="143" customWidth="1"/>
    <col min="780" max="780" width="8.85546875" style="143" customWidth="1"/>
    <col min="781" max="781" width="8" style="143" customWidth="1"/>
    <col min="782" max="782" width="6.28515625" style="143" customWidth="1"/>
    <col min="783" max="783" width="8.28515625" style="143" customWidth="1"/>
    <col min="784" max="784" width="6.85546875" style="143" customWidth="1"/>
    <col min="785" max="785" width="6.42578125" style="143" customWidth="1"/>
    <col min="786" max="786" width="8.5703125" style="143" customWidth="1"/>
    <col min="787" max="787" width="9" style="143" customWidth="1"/>
    <col min="788" max="788" width="12.7109375" style="143" customWidth="1"/>
    <col min="789" max="789" width="7.42578125" style="143" bestFit="1" customWidth="1"/>
    <col min="790" max="791" width="12.7109375" style="143" customWidth="1"/>
    <col min="792" max="792" width="6.140625" style="143" bestFit="1" customWidth="1"/>
    <col min="793" max="794" width="12.7109375" style="143" customWidth="1"/>
    <col min="795" max="795" width="6.140625" style="143" bestFit="1" customWidth="1"/>
    <col min="796" max="799" width="12.7109375" style="143" customWidth="1"/>
    <col min="800" max="1024" width="11.42578125" style="143"/>
    <col min="1025" max="1025" width="29.5703125" style="143" customWidth="1"/>
    <col min="1026" max="1026" width="9.7109375" style="143" customWidth="1"/>
    <col min="1027" max="1027" width="6.85546875" style="143" customWidth="1"/>
    <col min="1028" max="1028" width="8.42578125" style="143" customWidth="1"/>
    <col min="1029" max="1029" width="7.28515625" style="143" customWidth="1"/>
    <col min="1030" max="1030" width="8.85546875" style="143" bestFit="1" customWidth="1"/>
    <col min="1031" max="1031" width="7.42578125" style="143" bestFit="1" customWidth="1"/>
    <col min="1032" max="1032" width="6.28515625" style="143" customWidth="1"/>
    <col min="1033" max="1033" width="8.5703125" style="143" customWidth="1"/>
    <col min="1034" max="1034" width="8" style="143" customWidth="1"/>
    <col min="1035" max="1035" width="8.5703125" style="143" customWidth="1"/>
    <col min="1036" max="1036" width="8.85546875" style="143" customWidth="1"/>
    <col min="1037" max="1037" width="8" style="143" customWidth="1"/>
    <col min="1038" max="1038" width="6.28515625" style="143" customWidth="1"/>
    <col min="1039" max="1039" width="8.28515625" style="143" customWidth="1"/>
    <col min="1040" max="1040" width="6.85546875" style="143" customWidth="1"/>
    <col min="1041" max="1041" width="6.42578125" style="143" customWidth="1"/>
    <col min="1042" max="1042" width="8.5703125" style="143" customWidth="1"/>
    <col min="1043" max="1043" width="9" style="143" customWidth="1"/>
    <col min="1044" max="1044" width="12.7109375" style="143" customWidth="1"/>
    <col min="1045" max="1045" width="7.42578125" style="143" bestFit="1" customWidth="1"/>
    <col min="1046" max="1047" width="12.7109375" style="143" customWidth="1"/>
    <col min="1048" max="1048" width="6.140625" style="143" bestFit="1" customWidth="1"/>
    <col min="1049" max="1050" width="12.7109375" style="143" customWidth="1"/>
    <col min="1051" max="1051" width="6.140625" style="143" bestFit="1" customWidth="1"/>
    <col min="1052" max="1055" width="12.7109375" style="143" customWidth="1"/>
    <col min="1056" max="1280" width="11.42578125" style="143"/>
    <col min="1281" max="1281" width="29.5703125" style="143" customWidth="1"/>
    <col min="1282" max="1282" width="9.7109375" style="143" customWidth="1"/>
    <col min="1283" max="1283" width="6.85546875" style="143" customWidth="1"/>
    <col min="1284" max="1284" width="8.42578125" style="143" customWidth="1"/>
    <col min="1285" max="1285" width="7.28515625" style="143" customWidth="1"/>
    <col min="1286" max="1286" width="8.85546875" style="143" bestFit="1" customWidth="1"/>
    <col min="1287" max="1287" width="7.42578125" style="143" bestFit="1" customWidth="1"/>
    <col min="1288" max="1288" width="6.28515625" style="143" customWidth="1"/>
    <col min="1289" max="1289" width="8.5703125" style="143" customWidth="1"/>
    <col min="1290" max="1290" width="8" style="143" customWidth="1"/>
    <col min="1291" max="1291" width="8.5703125" style="143" customWidth="1"/>
    <col min="1292" max="1292" width="8.85546875" style="143" customWidth="1"/>
    <col min="1293" max="1293" width="8" style="143" customWidth="1"/>
    <col min="1294" max="1294" width="6.28515625" style="143" customWidth="1"/>
    <col min="1295" max="1295" width="8.28515625" style="143" customWidth="1"/>
    <col min="1296" max="1296" width="6.85546875" style="143" customWidth="1"/>
    <col min="1297" max="1297" width="6.42578125" style="143" customWidth="1"/>
    <col min="1298" max="1298" width="8.5703125" style="143" customWidth="1"/>
    <col min="1299" max="1299" width="9" style="143" customWidth="1"/>
    <col min="1300" max="1300" width="12.7109375" style="143" customWidth="1"/>
    <col min="1301" max="1301" width="7.42578125" style="143" bestFit="1" customWidth="1"/>
    <col min="1302" max="1303" width="12.7109375" style="143" customWidth="1"/>
    <col min="1304" max="1304" width="6.140625" style="143" bestFit="1" customWidth="1"/>
    <col min="1305" max="1306" width="12.7109375" style="143" customWidth="1"/>
    <col min="1307" max="1307" width="6.140625" style="143" bestFit="1" customWidth="1"/>
    <col min="1308" max="1311" width="12.7109375" style="143" customWidth="1"/>
    <col min="1312" max="1536" width="11.42578125" style="143"/>
    <col min="1537" max="1537" width="29.5703125" style="143" customWidth="1"/>
    <col min="1538" max="1538" width="9.7109375" style="143" customWidth="1"/>
    <col min="1539" max="1539" width="6.85546875" style="143" customWidth="1"/>
    <col min="1540" max="1540" width="8.42578125" style="143" customWidth="1"/>
    <col min="1541" max="1541" width="7.28515625" style="143" customWidth="1"/>
    <col min="1542" max="1542" width="8.85546875" style="143" bestFit="1" customWidth="1"/>
    <col min="1543" max="1543" width="7.42578125" style="143" bestFit="1" customWidth="1"/>
    <col min="1544" max="1544" width="6.28515625" style="143" customWidth="1"/>
    <col min="1545" max="1545" width="8.5703125" style="143" customWidth="1"/>
    <col min="1546" max="1546" width="8" style="143" customWidth="1"/>
    <col min="1547" max="1547" width="8.5703125" style="143" customWidth="1"/>
    <col min="1548" max="1548" width="8.85546875" style="143" customWidth="1"/>
    <col min="1549" max="1549" width="8" style="143" customWidth="1"/>
    <col min="1550" max="1550" width="6.28515625" style="143" customWidth="1"/>
    <col min="1551" max="1551" width="8.28515625" style="143" customWidth="1"/>
    <col min="1552" max="1552" width="6.85546875" style="143" customWidth="1"/>
    <col min="1553" max="1553" width="6.42578125" style="143" customWidth="1"/>
    <col min="1554" max="1554" width="8.5703125" style="143" customWidth="1"/>
    <col min="1555" max="1555" width="9" style="143" customWidth="1"/>
    <col min="1556" max="1556" width="12.7109375" style="143" customWidth="1"/>
    <col min="1557" max="1557" width="7.42578125" style="143" bestFit="1" customWidth="1"/>
    <col min="1558" max="1559" width="12.7109375" style="143" customWidth="1"/>
    <col min="1560" max="1560" width="6.140625" style="143" bestFit="1" customWidth="1"/>
    <col min="1561" max="1562" width="12.7109375" style="143" customWidth="1"/>
    <col min="1563" max="1563" width="6.140625" style="143" bestFit="1" customWidth="1"/>
    <col min="1564" max="1567" width="12.7109375" style="143" customWidth="1"/>
    <col min="1568" max="1792" width="11.42578125" style="143"/>
    <col min="1793" max="1793" width="29.5703125" style="143" customWidth="1"/>
    <col min="1794" max="1794" width="9.7109375" style="143" customWidth="1"/>
    <col min="1795" max="1795" width="6.85546875" style="143" customWidth="1"/>
    <col min="1796" max="1796" width="8.42578125" style="143" customWidth="1"/>
    <col min="1797" max="1797" width="7.28515625" style="143" customWidth="1"/>
    <col min="1798" max="1798" width="8.85546875" style="143" bestFit="1" customWidth="1"/>
    <col min="1799" max="1799" width="7.42578125" style="143" bestFit="1" customWidth="1"/>
    <col min="1800" max="1800" width="6.28515625" style="143" customWidth="1"/>
    <col min="1801" max="1801" width="8.5703125" style="143" customWidth="1"/>
    <col min="1802" max="1802" width="8" style="143" customWidth="1"/>
    <col min="1803" max="1803" width="8.5703125" style="143" customWidth="1"/>
    <col min="1804" max="1804" width="8.85546875" style="143" customWidth="1"/>
    <col min="1805" max="1805" width="8" style="143" customWidth="1"/>
    <col min="1806" max="1806" width="6.28515625" style="143" customWidth="1"/>
    <col min="1807" max="1807" width="8.28515625" style="143" customWidth="1"/>
    <col min="1808" max="1808" width="6.85546875" style="143" customWidth="1"/>
    <col min="1809" max="1809" width="6.42578125" style="143" customWidth="1"/>
    <col min="1810" max="1810" width="8.5703125" style="143" customWidth="1"/>
    <col min="1811" max="1811" width="9" style="143" customWidth="1"/>
    <col min="1812" max="1812" width="12.7109375" style="143" customWidth="1"/>
    <col min="1813" max="1813" width="7.42578125" style="143" bestFit="1" customWidth="1"/>
    <col min="1814" max="1815" width="12.7109375" style="143" customWidth="1"/>
    <col min="1816" max="1816" width="6.140625" style="143" bestFit="1" customWidth="1"/>
    <col min="1817" max="1818" width="12.7109375" style="143" customWidth="1"/>
    <col min="1819" max="1819" width="6.140625" style="143" bestFit="1" customWidth="1"/>
    <col min="1820" max="1823" width="12.7109375" style="143" customWidth="1"/>
    <col min="1824" max="2048" width="11.42578125" style="143"/>
    <col min="2049" max="2049" width="29.5703125" style="143" customWidth="1"/>
    <col min="2050" max="2050" width="9.7109375" style="143" customWidth="1"/>
    <col min="2051" max="2051" width="6.85546875" style="143" customWidth="1"/>
    <col min="2052" max="2052" width="8.42578125" style="143" customWidth="1"/>
    <col min="2053" max="2053" width="7.28515625" style="143" customWidth="1"/>
    <col min="2054" max="2054" width="8.85546875" style="143" bestFit="1" customWidth="1"/>
    <col min="2055" max="2055" width="7.42578125" style="143" bestFit="1" customWidth="1"/>
    <col min="2056" max="2056" width="6.28515625" style="143" customWidth="1"/>
    <col min="2057" max="2057" width="8.5703125" style="143" customWidth="1"/>
    <col min="2058" max="2058" width="8" style="143" customWidth="1"/>
    <col min="2059" max="2059" width="8.5703125" style="143" customWidth="1"/>
    <col min="2060" max="2060" width="8.85546875" style="143" customWidth="1"/>
    <col min="2061" max="2061" width="8" style="143" customWidth="1"/>
    <col min="2062" max="2062" width="6.28515625" style="143" customWidth="1"/>
    <col min="2063" max="2063" width="8.28515625" style="143" customWidth="1"/>
    <col min="2064" max="2064" width="6.85546875" style="143" customWidth="1"/>
    <col min="2065" max="2065" width="6.42578125" style="143" customWidth="1"/>
    <col min="2066" max="2066" width="8.5703125" style="143" customWidth="1"/>
    <col min="2067" max="2067" width="9" style="143" customWidth="1"/>
    <col min="2068" max="2068" width="12.7109375" style="143" customWidth="1"/>
    <col min="2069" max="2069" width="7.42578125" style="143" bestFit="1" customWidth="1"/>
    <col min="2070" max="2071" width="12.7109375" style="143" customWidth="1"/>
    <col min="2072" max="2072" width="6.140625" style="143" bestFit="1" customWidth="1"/>
    <col min="2073" max="2074" width="12.7109375" style="143" customWidth="1"/>
    <col min="2075" max="2075" width="6.140625" style="143" bestFit="1" customWidth="1"/>
    <col min="2076" max="2079" width="12.7109375" style="143" customWidth="1"/>
    <col min="2080" max="2304" width="11.42578125" style="143"/>
    <col min="2305" max="2305" width="29.5703125" style="143" customWidth="1"/>
    <col min="2306" max="2306" width="9.7109375" style="143" customWidth="1"/>
    <col min="2307" max="2307" width="6.85546875" style="143" customWidth="1"/>
    <col min="2308" max="2308" width="8.42578125" style="143" customWidth="1"/>
    <col min="2309" max="2309" width="7.28515625" style="143" customWidth="1"/>
    <col min="2310" max="2310" width="8.85546875" style="143" bestFit="1" customWidth="1"/>
    <col min="2311" max="2311" width="7.42578125" style="143" bestFit="1" customWidth="1"/>
    <col min="2312" max="2312" width="6.28515625" style="143" customWidth="1"/>
    <col min="2313" max="2313" width="8.5703125" style="143" customWidth="1"/>
    <col min="2314" max="2314" width="8" style="143" customWidth="1"/>
    <col min="2315" max="2315" width="8.5703125" style="143" customWidth="1"/>
    <col min="2316" max="2316" width="8.85546875" style="143" customWidth="1"/>
    <col min="2317" max="2317" width="8" style="143" customWidth="1"/>
    <col min="2318" max="2318" width="6.28515625" style="143" customWidth="1"/>
    <col min="2319" max="2319" width="8.28515625" style="143" customWidth="1"/>
    <col min="2320" max="2320" width="6.85546875" style="143" customWidth="1"/>
    <col min="2321" max="2321" width="6.42578125" style="143" customWidth="1"/>
    <col min="2322" max="2322" width="8.5703125" style="143" customWidth="1"/>
    <col min="2323" max="2323" width="9" style="143" customWidth="1"/>
    <col min="2324" max="2324" width="12.7109375" style="143" customWidth="1"/>
    <col min="2325" max="2325" width="7.42578125" style="143" bestFit="1" customWidth="1"/>
    <col min="2326" max="2327" width="12.7109375" style="143" customWidth="1"/>
    <col min="2328" max="2328" width="6.140625" style="143" bestFit="1" customWidth="1"/>
    <col min="2329" max="2330" width="12.7109375" style="143" customWidth="1"/>
    <col min="2331" max="2331" width="6.140625" style="143" bestFit="1" customWidth="1"/>
    <col min="2332" max="2335" width="12.7109375" style="143" customWidth="1"/>
    <col min="2336" max="2560" width="11.42578125" style="143"/>
    <col min="2561" max="2561" width="29.5703125" style="143" customWidth="1"/>
    <col min="2562" max="2562" width="9.7109375" style="143" customWidth="1"/>
    <col min="2563" max="2563" width="6.85546875" style="143" customWidth="1"/>
    <col min="2564" max="2564" width="8.42578125" style="143" customWidth="1"/>
    <col min="2565" max="2565" width="7.28515625" style="143" customWidth="1"/>
    <col min="2566" max="2566" width="8.85546875" style="143" bestFit="1" customWidth="1"/>
    <col min="2567" max="2567" width="7.42578125" style="143" bestFit="1" customWidth="1"/>
    <col min="2568" max="2568" width="6.28515625" style="143" customWidth="1"/>
    <col min="2569" max="2569" width="8.5703125" style="143" customWidth="1"/>
    <col min="2570" max="2570" width="8" style="143" customWidth="1"/>
    <col min="2571" max="2571" width="8.5703125" style="143" customWidth="1"/>
    <col min="2572" max="2572" width="8.85546875" style="143" customWidth="1"/>
    <col min="2573" max="2573" width="8" style="143" customWidth="1"/>
    <col min="2574" max="2574" width="6.28515625" style="143" customWidth="1"/>
    <col min="2575" max="2575" width="8.28515625" style="143" customWidth="1"/>
    <col min="2576" max="2576" width="6.85546875" style="143" customWidth="1"/>
    <col min="2577" max="2577" width="6.42578125" style="143" customWidth="1"/>
    <col min="2578" max="2578" width="8.5703125" style="143" customWidth="1"/>
    <col min="2579" max="2579" width="9" style="143" customWidth="1"/>
    <col min="2580" max="2580" width="12.7109375" style="143" customWidth="1"/>
    <col min="2581" max="2581" width="7.42578125" style="143" bestFit="1" customWidth="1"/>
    <col min="2582" max="2583" width="12.7109375" style="143" customWidth="1"/>
    <col min="2584" max="2584" width="6.140625" style="143" bestFit="1" customWidth="1"/>
    <col min="2585" max="2586" width="12.7109375" style="143" customWidth="1"/>
    <col min="2587" max="2587" width="6.140625" style="143" bestFit="1" customWidth="1"/>
    <col min="2588" max="2591" width="12.7109375" style="143" customWidth="1"/>
    <col min="2592" max="2816" width="11.42578125" style="143"/>
    <col min="2817" max="2817" width="29.5703125" style="143" customWidth="1"/>
    <col min="2818" max="2818" width="9.7109375" style="143" customWidth="1"/>
    <col min="2819" max="2819" width="6.85546875" style="143" customWidth="1"/>
    <col min="2820" max="2820" width="8.42578125" style="143" customWidth="1"/>
    <col min="2821" max="2821" width="7.28515625" style="143" customWidth="1"/>
    <col min="2822" max="2822" width="8.85546875" style="143" bestFit="1" customWidth="1"/>
    <col min="2823" max="2823" width="7.42578125" style="143" bestFit="1" customWidth="1"/>
    <col min="2824" max="2824" width="6.28515625" style="143" customWidth="1"/>
    <col min="2825" max="2825" width="8.5703125" style="143" customWidth="1"/>
    <col min="2826" max="2826" width="8" style="143" customWidth="1"/>
    <col min="2827" max="2827" width="8.5703125" style="143" customWidth="1"/>
    <col min="2828" max="2828" width="8.85546875" style="143" customWidth="1"/>
    <col min="2829" max="2829" width="8" style="143" customWidth="1"/>
    <col min="2830" max="2830" width="6.28515625" style="143" customWidth="1"/>
    <col min="2831" max="2831" width="8.28515625" style="143" customWidth="1"/>
    <col min="2832" max="2832" width="6.85546875" style="143" customWidth="1"/>
    <col min="2833" max="2833" width="6.42578125" style="143" customWidth="1"/>
    <col min="2834" max="2834" width="8.5703125" style="143" customWidth="1"/>
    <col min="2835" max="2835" width="9" style="143" customWidth="1"/>
    <col min="2836" max="2836" width="12.7109375" style="143" customWidth="1"/>
    <col min="2837" max="2837" width="7.42578125" style="143" bestFit="1" customWidth="1"/>
    <col min="2838" max="2839" width="12.7109375" style="143" customWidth="1"/>
    <col min="2840" max="2840" width="6.140625" style="143" bestFit="1" customWidth="1"/>
    <col min="2841" max="2842" width="12.7109375" style="143" customWidth="1"/>
    <col min="2843" max="2843" width="6.140625" style="143" bestFit="1" customWidth="1"/>
    <col min="2844" max="2847" width="12.7109375" style="143" customWidth="1"/>
    <col min="2848" max="3072" width="11.42578125" style="143"/>
    <col min="3073" max="3073" width="29.5703125" style="143" customWidth="1"/>
    <col min="3074" max="3074" width="9.7109375" style="143" customWidth="1"/>
    <col min="3075" max="3075" width="6.85546875" style="143" customWidth="1"/>
    <col min="3076" max="3076" width="8.42578125" style="143" customWidth="1"/>
    <col min="3077" max="3077" width="7.28515625" style="143" customWidth="1"/>
    <col min="3078" max="3078" width="8.85546875" style="143" bestFit="1" customWidth="1"/>
    <col min="3079" max="3079" width="7.42578125" style="143" bestFit="1" customWidth="1"/>
    <col min="3080" max="3080" width="6.28515625" style="143" customWidth="1"/>
    <col min="3081" max="3081" width="8.5703125" style="143" customWidth="1"/>
    <col min="3082" max="3082" width="8" style="143" customWidth="1"/>
    <col min="3083" max="3083" width="8.5703125" style="143" customWidth="1"/>
    <col min="3084" max="3084" width="8.85546875" style="143" customWidth="1"/>
    <col min="3085" max="3085" width="8" style="143" customWidth="1"/>
    <col min="3086" max="3086" width="6.28515625" style="143" customWidth="1"/>
    <col min="3087" max="3087" width="8.28515625" style="143" customWidth="1"/>
    <col min="3088" max="3088" width="6.85546875" style="143" customWidth="1"/>
    <col min="3089" max="3089" width="6.42578125" style="143" customWidth="1"/>
    <col min="3090" max="3090" width="8.5703125" style="143" customWidth="1"/>
    <col min="3091" max="3091" width="9" style="143" customWidth="1"/>
    <col min="3092" max="3092" width="12.7109375" style="143" customWidth="1"/>
    <col min="3093" max="3093" width="7.42578125" style="143" bestFit="1" customWidth="1"/>
    <col min="3094" max="3095" width="12.7109375" style="143" customWidth="1"/>
    <col min="3096" max="3096" width="6.140625" style="143" bestFit="1" customWidth="1"/>
    <col min="3097" max="3098" width="12.7109375" style="143" customWidth="1"/>
    <col min="3099" max="3099" width="6.140625" style="143" bestFit="1" customWidth="1"/>
    <col min="3100" max="3103" width="12.7109375" style="143" customWidth="1"/>
    <col min="3104" max="3328" width="11.42578125" style="143"/>
    <col min="3329" max="3329" width="29.5703125" style="143" customWidth="1"/>
    <col min="3330" max="3330" width="9.7109375" style="143" customWidth="1"/>
    <col min="3331" max="3331" width="6.85546875" style="143" customWidth="1"/>
    <col min="3332" max="3332" width="8.42578125" style="143" customWidth="1"/>
    <col min="3333" max="3333" width="7.28515625" style="143" customWidth="1"/>
    <col min="3334" max="3334" width="8.85546875" style="143" bestFit="1" customWidth="1"/>
    <col min="3335" max="3335" width="7.42578125" style="143" bestFit="1" customWidth="1"/>
    <col min="3336" max="3336" width="6.28515625" style="143" customWidth="1"/>
    <col min="3337" max="3337" width="8.5703125" style="143" customWidth="1"/>
    <col min="3338" max="3338" width="8" style="143" customWidth="1"/>
    <col min="3339" max="3339" width="8.5703125" style="143" customWidth="1"/>
    <col min="3340" max="3340" width="8.85546875" style="143" customWidth="1"/>
    <col min="3341" max="3341" width="8" style="143" customWidth="1"/>
    <col min="3342" max="3342" width="6.28515625" style="143" customWidth="1"/>
    <col min="3343" max="3343" width="8.28515625" style="143" customWidth="1"/>
    <col min="3344" max="3344" width="6.85546875" style="143" customWidth="1"/>
    <col min="3345" max="3345" width="6.42578125" style="143" customWidth="1"/>
    <col min="3346" max="3346" width="8.5703125" style="143" customWidth="1"/>
    <col min="3347" max="3347" width="9" style="143" customWidth="1"/>
    <col min="3348" max="3348" width="12.7109375" style="143" customWidth="1"/>
    <col min="3349" max="3349" width="7.42578125" style="143" bestFit="1" customWidth="1"/>
    <col min="3350" max="3351" width="12.7109375" style="143" customWidth="1"/>
    <col min="3352" max="3352" width="6.140625" style="143" bestFit="1" customWidth="1"/>
    <col min="3353" max="3354" width="12.7109375" style="143" customWidth="1"/>
    <col min="3355" max="3355" width="6.140625" style="143" bestFit="1" customWidth="1"/>
    <col min="3356" max="3359" width="12.7109375" style="143" customWidth="1"/>
    <col min="3360" max="3584" width="11.42578125" style="143"/>
    <col min="3585" max="3585" width="29.5703125" style="143" customWidth="1"/>
    <col min="3586" max="3586" width="9.7109375" style="143" customWidth="1"/>
    <col min="3587" max="3587" width="6.85546875" style="143" customWidth="1"/>
    <col min="3588" max="3588" width="8.42578125" style="143" customWidth="1"/>
    <col min="3589" max="3589" width="7.28515625" style="143" customWidth="1"/>
    <col min="3590" max="3590" width="8.85546875" style="143" bestFit="1" customWidth="1"/>
    <col min="3591" max="3591" width="7.42578125" style="143" bestFit="1" customWidth="1"/>
    <col min="3592" max="3592" width="6.28515625" style="143" customWidth="1"/>
    <col min="3593" max="3593" width="8.5703125" style="143" customWidth="1"/>
    <col min="3594" max="3594" width="8" style="143" customWidth="1"/>
    <col min="3595" max="3595" width="8.5703125" style="143" customWidth="1"/>
    <col min="3596" max="3596" width="8.85546875" style="143" customWidth="1"/>
    <col min="3597" max="3597" width="8" style="143" customWidth="1"/>
    <col min="3598" max="3598" width="6.28515625" style="143" customWidth="1"/>
    <col min="3599" max="3599" width="8.28515625" style="143" customWidth="1"/>
    <col min="3600" max="3600" width="6.85546875" style="143" customWidth="1"/>
    <col min="3601" max="3601" width="6.42578125" style="143" customWidth="1"/>
    <col min="3602" max="3602" width="8.5703125" style="143" customWidth="1"/>
    <col min="3603" max="3603" width="9" style="143" customWidth="1"/>
    <col min="3604" max="3604" width="12.7109375" style="143" customWidth="1"/>
    <col min="3605" max="3605" width="7.42578125" style="143" bestFit="1" customWidth="1"/>
    <col min="3606" max="3607" width="12.7109375" style="143" customWidth="1"/>
    <col min="3608" max="3608" width="6.140625" style="143" bestFit="1" customWidth="1"/>
    <col min="3609" max="3610" width="12.7109375" style="143" customWidth="1"/>
    <col min="3611" max="3611" width="6.140625" style="143" bestFit="1" customWidth="1"/>
    <col min="3612" max="3615" width="12.7109375" style="143" customWidth="1"/>
    <col min="3616" max="3840" width="11.42578125" style="143"/>
    <col min="3841" max="3841" width="29.5703125" style="143" customWidth="1"/>
    <col min="3842" max="3842" width="9.7109375" style="143" customWidth="1"/>
    <col min="3843" max="3843" width="6.85546875" style="143" customWidth="1"/>
    <col min="3844" max="3844" width="8.42578125" style="143" customWidth="1"/>
    <col min="3845" max="3845" width="7.28515625" style="143" customWidth="1"/>
    <col min="3846" max="3846" width="8.85546875" style="143" bestFit="1" customWidth="1"/>
    <col min="3847" max="3847" width="7.42578125" style="143" bestFit="1" customWidth="1"/>
    <col min="3848" max="3848" width="6.28515625" style="143" customWidth="1"/>
    <col min="3849" max="3849" width="8.5703125" style="143" customWidth="1"/>
    <col min="3850" max="3850" width="8" style="143" customWidth="1"/>
    <col min="3851" max="3851" width="8.5703125" style="143" customWidth="1"/>
    <col min="3852" max="3852" width="8.85546875" style="143" customWidth="1"/>
    <col min="3853" max="3853" width="8" style="143" customWidth="1"/>
    <col min="3854" max="3854" width="6.28515625" style="143" customWidth="1"/>
    <col min="3855" max="3855" width="8.28515625" style="143" customWidth="1"/>
    <col min="3856" max="3856" width="6.85546875" style="143" customWidth="1"/>
    <col min="3857" max="3857" width="6.42578125" style="143" customWidth="1"/>
    <col min="3858" max="3858" width="8.5703125" style="143" customWidth="1"/>
    <col min="3859" max="3859" width="9" style="143" customWidth="1"/>
    <col min="3860" max="3860" width="12.7109375" style="143" customWidth="1"/>
    <col min="3861" max="3861" width="7.42578125" style="143" bestFit="1" customWidth="1"/>
    <col min="3862" max="3863" width="12.7109375" style="143" customWidth="1"/>
    <col min="3864" max="3864" width="6.140625" style="143" bestFit="1" customWidth="1"/>
    <col min="3865" max="3866" width="12.7109375" style="143" customWidth="1"/>
    <col min="3867" max="3867" width="6.140625" style="143" bestFit="1" customWidth="1"/>
    <col min="3868" max="3871" width="12.7109375" style="143" customWidth="1"/>
    <col min="3872" max="4096" width="11.42578125" style="143"/>
    <col min="4097" max="4097" width="29.5703125" style="143" customWidth="1"/>
    <col min="4098" max="4098" width="9.7109375" style="143" customWidth="1"/>
    <col min="4099" max="4099" width="6.85546875" style="143" customWidth="1"/>
    <col min="4100" max="4100" width="8.42578125" style="143" customWidth="1"/>
    <col min="4101" max="4101" width="7.28515625" style="143" customWidth="1"/>
    <col min="4102" max="4102" width="8.85546875" style="143" bestFit="1" customWidth="1"/>
    <col min="4103" max="4103" width="7.42578125" style="143" bestFit="1" customWidth="1"/>
    <col min="4104" max="4104" width="6.28515625" style="143" customWidth="1"/>
    <col min="4105" max="4105" width="8.5703125" style="143" customWidth="1"/>
    <col min="4106" max="4106" width="8" style="143" customWidth="1"/>
    <col min="4107" max="4107" width="8.5703125" style="143" customWidth="1"/>
    <col min="4108" max="4108" width="8.85546875" style="143" customWidth="1"/>
    <col min="4109" max="4109" width="8" style="143" customWidth="1"/>
    <col min="4110" max="4110" width="6.28515625" style="143" customWidth="1"/>
    <col min="4111" max="4111" width="8.28515625" style="143" customWidth="1"/>
    <col min="4112" max="4112" width="6.85546875" style="143" customWidth="1"/>
    <col min="4113" max="4113" width="6.42578125" style="143" customWidth="1"/>
    <col min="4114" max="4114" width="8.5703125" style="143" customWidth="1"/>
    <col min="4115" max="4115" width="9" style="143" customWidth="1"/>
    <col min="4116" max="4116" width="12.7109375" style="143" customWidth="1"/>
    <col min="4117" max="4117" width="7.42578125" style="143" bestFit="1" customWidth="1"/>
    <col min="4118" max="4119" width="12.7109375" style="143" customWidth="1"/>
    <col min="4120" max="4120" width="6.140625" style="143" bestFit="1" customWidth="1"/>
    <col min="4121" max="4122" width="12.7109375" style="143" customWidth="1"/>
    <col min="4123" max="4123" width="6.140625" style="143" bestFit="1" customWidth="1"/>
    <col min="4124" max="4127" width="12.7109375" style="143" customWidth="1"/>
    <col min="4128" max="4352" width="11.42578125" style="143"/>
    <col min="4353" max="4353" width="29.5703125" style="143" customWidth="1"/>
    <col min="4354" max="4354" width="9.7109375" style="143" customWidth="1"/>
    <col min="4355" max="4355" width="6.85546875" style="143" customWidth="1"/>
    <col min="4356" max="4356" width="8.42578125" style="143" customWidth="1"/>
    <col min="4357" max="4357" width="7.28515625" style="143" customWidth="1"/>
    <col min="4358" max="4358" width="8.85546875" style="143" bestFit="1" customWidth="1"/>
    <col min="4359" max="4359" width="7.42578125" style="143" bestFit="1" customWidth="1"/>
    <col min="4360" max="4360" width="6.28515625" style="143" customWidth="1"/>
    <col min="4361" max="4361" width="8.5703125" style="143" customWidth="1"/>
    <col min="4362" max="4362" width="8" style="143" customWidth="1"/>
    <col min="4363" max="4363" width="8.5703125" style="143" customWidth="1"/>
    <col min="4364" max="4364" width="8.85546875" style="143" customWidth="1"/>
    <col min="4365" max="4365" width="8" style="143" customWidth="1"/>
    <col min="4366" max="4366" width="6.28515625" style="143" customWidth="1"/>
    <col min="4367" max="4367" width="8.28515625" style="143" customWidth="1"/>
    <col min="4368" max="4368" width="6.85546875" style="143" customWidth="1"/>
    <col min="4369" max="4369" width="6.42578125" style="143" customWidth="1"/>
    <col min="4370" max="4370" width="8.5703125" style="143" customWidth="1"/>
    <col min="4371" max="4371" width="9" style="143" customWidth="1"/>
    <col min="4372" max="4372" width="12.7109375" style="143" customWidth="1"/>
    <col min="4373" max="4373" width="7.42578125" style="143" bestFit="1" customWidth="1"/>
    <col min="4374" max="4375" width="12.7109375" style="143" customWidth="1"/>
    <col min="4376" max="4376" width="6.140625" style="143" bestFit="1" customWidth="1"/>
    <col min="4377" max="4378" width="12.7109375" style="143" customWidth="1"/>
    <col min="4379" max="4379" width="6.140625" style="143" bestFit="1" customWidth="1"/>
    <col min="4380" max="4383" width="12.7109375" style="143" customWidth="1"/>
    <col min="4384" max="4608" width="11.42578125" style="143"/>
    <col min="4609" max="4609" width="29.5703125" style="143" customWidth="1"/>
    <col min="4610" max="4610" width="9.7109375" style="143" customWidth="1"/>
    <col min="4611" max="4611" width="6.85546875" style="143" customWidth="1"/>
    <col min="4612" max="4612" width="8.42578125" style="143" customWidth="1"/>
    <col min="4613" max="4613" width="7.28515625" style="143" customWidth="1"/>
    <col min="4614" max="4614" width="8.85546875" style="143" bestFit="1" customWidth="1"/>
    <col min="4615" max="4615" width="7.42578125" style="143" bestFit="1" customWidth="1"/>
    <col min="4616" max="4616" width="6.28515625" style="143" customWidth="1"/>
    <col min="4617" max="4617" width="8.5703125" style="143" customWidth="1"/>
    <col min="4618" max="4618" width="8" style="143" customWidth="1"/>
    <col min="4619" max="4619" width="8.5703125" style="143" customWidth="1"/>
    <col min="4620" max="4620" width="8.85546875" style="143" customWidth="1"/>
    <col min="4621" max="4621" width="8" style="143" customWidth="1"/>
    <col min="4622" max="4622" width="6.28515625" style="143" customWidth="1"/>
    <col min="4623" max="4623" width="8.28515625" style="143" customWidth="1"/>
    <col min="4624" max="4624" width="6.85546875" style="143" customWidth="1"/>
    <col min="4625" max="4625" width="6.42578125" style="143" customWidth="1"/>
    <col min="4626" max="4626" width="8.5703125" style="143" customWidth="1"/>
    <col min="4627" max="4627" width="9" style="143" customWidth="1"/>
    <col min="4628" max="4628" width="12.7109375" style="143" customWidth="1"/>
    <col min="4629" max="4629" width="7.42578125" style="143" bestFit="1" customWidth="1"/>
    <col min="4630" max="4631" width="12.7109375" style="143" customWidth="1"/>
    <col min="4632" max="4632" width="6.140625" style="143" bestFit="1" customWidth="1"/>
    <col min="4633" max="4634" width="12.7109375" style="143" customWidth="1"/>
    <col min="4635" max="4635" width="6.140625" style="143" bestFit="1" customWidth="1"/>
    <col min="4636" max="4639" width="12.7109375" style="143" customWidth="1"/>
    <col min="4640" max="4864" width="11.42578125" style="143"/>
    <col min="4865" max="4865" width="29.5703125" style="143" customWidth="1"/>
    <col min="4866" max="4866" width="9.7109375" style="143" customWidth="1"/>
    <col min="4867" max="4867" width="6.85546875" style="143" customWidth="1"/>
    <col min="4868" max="4868" width="8.42578125" style="143" customWidth="1"/>
    <col min="4869" max="4869" width="7.28515625" style="143" customWidth="1"/>
    <col min="4870" max="4870" width="8.85546875" style="143" bestFit="1" customWidth="1"/>
    <col min="4871" max="4871" width="7.42578125" style="143" bestFit="1" customWidth="1"/>
    <col min="4872" max="4872" width="6.28515625" style="143" customWidth="1"/>
    <col min="4873" max="4873" width="8.5703125" style="143" customWidth="1"/>
    <col min="4874" max="4874" width="8" style="143" customWidth="1"/>
    <col min="4875" max="4875" width="8.5703125" style="143" customWidth="1"/>
    <col min="4876" max="4876" width="8.85546875" style="143" customWidth="1"/>
    <col min="4877" max="4877" width="8" style="143" customWidth="1"/>
    <col min="4878" max="4878" width="6.28515625" style="143" customWidth="1"/>
    <col min="4879" max="4879" width="8.28515625" style="143" customWidth="1"/>
    <col min="4880" max="4880" width="6.85546875" style="143" customWidth="1"/>
    <col min="4881" max="4881" width="6.42578125" style="143" customWidth="1"/>
    <col min="4882" max="4882" width="8.5703125" style="143" customWidth="1"/>
    <col min="4883" max="4883" width="9" style="143" customWidth="1"/>
    <col min="4884" max="4884" width="12.7109375" style="143" customWidth="1"/>
    <col min="4885" max="4885" width="7.42578125" style="143" bestFit="1" customWidth="1"/>
    <col min="4886" max="4887" width="12.7109375" style="143" customWidth="1"/>
    <col min="4888" max="4888" width="6.140625" style="143" bestFit="1" customWidth="1"/>
    <col min="4889" max="4890" width="12.7109375" style="143" customWidth="1"/>
    <col min="4891" max="4891" width="6.140625" style="143" bestFit="1" customWidth="1"/>
    <col min="4892" max="4895" width="12.7109375" style="143" customWidth="1"/>
    <col min="4896" max="5120" width="11.42578125" style="143"/>
    <col min="5121" max="5121" width="29.5703125" style="143" customWidth="1"/>
    <col min="5122" max="5122" width="9.7109375" style="143" customWidth="1"/>
    <col min="5123" max="5123" width="6.85546875" style="143" customWidth="1"/>
    <col min="5124" max="5124" width="8.42578125" style="143" customWidth="1"/>
    <col min="5125" max="5125" width="7.28515625" style="143" customWidth="1"/>
    <col min="5126" max="5126" width="8.85546875" style="143" bestFit="1" customWidth="1"/>
    <col min="5127" max="5127" width="7.42578125" style="143" bestFit="1" customWidth="1"/>
    <col min="5128" max="5128" width="6.28515625" style="143" customWidth="1"/>
    <col min="5129" max="5129" width="8.5703125" style="143" customWidth="1"/>
    <col min="5130" max="5130" width="8" style="143" customWidth="1"/>
    <col min="5131" max="5131" width="8.5703125" style="143" customWidth="1"/>
    <col min="5132" max="5132" width="8.85546875" style="143" customWidth="1"/>
    <col min="5133" max="5133" width="8" style="143" customWidth="1"/>
    <col min="5134" max="5134" width="6.28515625" style="143" customWidth="1"/>
    <col min="5135" max="5135" width="8.28515625" style="143" customWidth="1"/>
    <col min="5136" max="5136" width="6.85546875" style="143" customWidth="1"/>
    <col min="5137" max="5137" width="6.42578125" style="143" customWidth="1"/>
    <col min="5138" max="5138" width="8.5703125" style="143" customWidth="1"/>
    <col min="5139" max="5139" width="9" style="143" customWidth="1"/>
    <col min="5140" max="5140" width="12.7109375" style="143" customWidth="1"/>
    <col min="5141" max="5141" width="7.42578125" style="143" bestFit="1" customWidth="1"/>
    <col min="5142" max="5143" width="12.7109375" style="143" customWidth="1"/>
    <col min="5144" max="5144" width="6.140625" style="143" bestFit="1" customWidth="1"/>
    <col min="5145" max="5146" width="12.7109375" style="143" customWidth="1"/>
    <col min="5147" max="5147" width="6.140625" style="143" bestFit="1" customWidth="1"/>
    <col min="5148" max="5151" width="12.7109375" style="143" customWidth="1"/>
    <col min="5152" max="5376" width="11.42578125" style="143"/>
    <col min="5377" max="5377" width="29.5703125" style="143" customWidth="1"/>
    <col min="5378" max="5378" width="9.7109375" style="143" customWidth="1"/>
    <col min="5379" max="5379" width="6.85546875" style="143" customWidth="1"/>
    <col min="5380" max="5380" width="8.42578125" style="143" customWidth="1"/>
    <col min="5381" max="5381" width="7.28515625" style="143" customWidth="1"/>
    <col min="5382" max="5382" width="8.85546875" style="143" bestFit="1" customWidth="1"/>
    <col min="5383" max="5383" width="7.42578125" style="143" bestFit="1" customWidth="1"/>
    <col min="5384" max="5384" width="6.28515625" style="143" customWidth="1"/>
    <col min="5385" max="5385" width="8.5703125" style="143" customWidth="1"/>
    <col min="5386" max="5386" width="8" style="143" customWidth="1"/>
    <col min="5387" max="5387" width="8.5703125" style="143" customWidth="1"/>
    <col min="5388" max="5388" width="8.85546875" style="143" customWidth="1"/>
    <col min="5389" max="5389" width="8" style="143" customWidth="1"/>
    <col min="5390" max="5390" width="6.28515625" style="143" customWidth="1"/>
    <col min="5391" max="5391" width="8.28515625" style="143" customWidth="1"/>
    <col min="5392" max="5392" width="6.85546875" style="143" customWidth="1"/>
    <col min="5393" max="5393" width="6.42578125" style="143" customWidth="1"/>
    <col min="5394" max="5394" width="8.5703125" style="143" customWidth="1"/>
    <col min="5395" max="5395" width="9" style="143" customWidth="1"/>
    <col min="5396" max="5396" width="12.7109375" style="143" customWidth="1"/>
    <col min="5397" max="5397" width="7.42578125" style="143" bestFit="1" customWidth="1"/>
    <col min="5398" max="5399" width="12.7109375" style="143" customWidth="1"/>
    <col min="5400" max="5400" width="6.140625" style="143" bestFit="1" customWidth="1"/>
    <col min="5401" max="5402" width="12.7109375" style="143" customWidth="1"/>
    <col min="5403" max="5403" width="6.140625" style="143" bestFit="1" customWidth="1"/>
    <col min="5404" max="5407" width="12.7109375" style="143" customWidth="1"/>
    <col min="5408" max="5632" width="11.42578125" style="143"/>
    <col min="5633" max="5633" width="29.5703125" style="143" customWidth="1"/>
    <col min="5634" max="5634" width="9.7109375" style="143" customWidth="1"/>
    <col min="5635" max="5635" width="6.85546875" style="143" customWidth="1"/>
    <col min="5636" max="5636" width="8.42578125" style="143" customWidth="1"/>
    <col min="5637" max="5637" width="7.28515625" style="143" customWidth="1"/>
    <col min="5638" max="5638" width="8.85546875" style="143" bestFit="1" customWidth="1"/>
    <col min="5639" max="5639" width="7.42578125" style="143" bestFit="1" customWidth="1"/>
    <col min="5640" max="5640" width="6.28515625" style="143" customWidth="1"/>
    <col min="5641" max="5641" width="8.5703125" style="143" customWidth="1"/>
    <col min="5642" max="5642" width="8" style="143" customWidth="1"/>
    <col min="5643" max="5643" width="8.5703125" style="143" customWidth="1"/>
    <col min="5644" max="5644" width="8.85546875" style="143" customWidth="1"/>
    <col min="5645" max="5645" width="8" style="143" customWidth="1"/>
    <col min="5646" max="5646" width="6.28515625" style="143" customWidth="1"/>
    <col min="5647" max="5647" width="8.28515625" style="143" customWidth="1"/>
    <col min="5648" max="5648" width="6.85546875" style="143" customWidth="1"/>
    <col min="5649" max="5649" width="6.42578125" style="143" customWidth="1"/>
    <col min="5650" max="5650" width="8.5703125" style="143" customWidth="1"/>
    <col min="5651" max="5651" width="9" style="143" customWidth="1"/>
    <col min="5652" max="5652" width="12.7109375" style="143" customWidth="1"/>
    <col min="5653" max="5653" width="7.42578125" style="143" bestFit="1" customWidth="1"/>
    <col min="5654" max="5655" width="12.7109375" style="143" customWidth="1"/>
    <col min="5656" max="5656" width="6.140625" style="143" bestFit="1" customWidth="1"/>
    <col min="5657" max="5658" width="12.7109375" style="143" customWidth="1"/>
    <col min="5659" max="5659" width="6.140625" style="143" bestFit="1" customWidth="1"/>
    <col min="5660" max="5663" width="12.7109375" style="143" customWidth="1"/>
    <col min="5664" max="5888" width="11.42578125" style="143"/>
    <col min="5889" max="5889" width="29.5703125" style="143" customWidth="1"/>
    <col min="5890" max="5890" width="9.7109375" style="143" customWidth="1"/>
    <col min="5891" max="5891" width="6.85546875" style="143" customWidth="1"/>
    <col min="5892" max="5892" width="8.42578125" style="143" customWidth="1"/>
    <col min="5893" max="5893" width="7.28515625" style="143" customWidth="1"/>
    <col min="5894" max="5894" width="8.85546875" style="143" bestFit="1" customWidth="1"/>
    <col min="5895" max="5895" width="7.42578125" style="143" bestFit="1" customWidth="1"/>
    <col min="5896" max="5896" width="6.28515625" style="143" customWidth="1"/>
    <col min="5897" max="5897" width="8.5703125" style="143" customWidth="1"/>
    <col min="5898" max="5898" width="8" style="143" customWidth="1"/>
    <col min="5899" max="5899" width="8.5703125" style="143" customWidth="1"/>
    <col min="5900" max="5900" width="8.85546875" style="143" customWidth="1"/>
    <col min="5901" max="5901" width="8" style="143" customWidth="1"/>
    <col min="5902" max="5902" width="6.28515625" style="143" customWidth="1"/>
    <col min="5903" max="5903" width="8.28515625" style="143" customWidth="1"/>
    <col min="5904" max="5904" width="6.85546875" style="143" customWidth="1"/>
    <col min="5905" max="5905" width="6.42578125" style="143" customWidth="1"/>
    <col min="5906" max="5906" width="8.5703125" style="143" customWidth="1"/>
    <col min="5907" max="5907" width="9" style="143" customWidth="1"/>
    <col min="5908" max="5908" width="12.7109375" style="143" customWidth="1"/>
    <col min="5909" max="5909" width="7.42578125" style="143" bestFit="1" customWidth="1"/>
    <col min="5910" max="5911" width="12.7109375" style="143" customWidth="1"/>
    <col min="5912" max="5912" width="6.140625" style="143" bestFit="1" customWidth="1"/>
    <col min="5913" max="5914" width="12.7109375" style="143" customWidth="1"/>
    <col min="5915" max="5915" width="6.140625" style="143" bestFit="1" customWidth="1"/>
    <col min="5916" max="5919" width="12.7109375" style="143" customWidth="1"/>
    <col min="5920" max="6144" width="11.42578125" style="143"/>
    <col min="6145" max="6145" width="29.5703125" style="143" customWidth="1"/>
    <col min="6146" max="6146" width="9.7109375" style="143" customWidth="1"/>
    <col min="6147" max="6147" width="6.85546875" style="143" customWidth="1"/>
    <col min="6148" max="6148" width="8.42578125" style="143" customWidth="1"/>
    <col min="6149" max="6149" width="7.28515625" style="143" customWidth="1"/>
    <col min="6150" max="6150" width="8.85546875" style="143" bestFit="1" customWidth="1"/>
    <col min="6151" max="6151" width="7.42578125" style="143" bestFit="1" customWidth="1"/>
    <col min="6152" max="6152" width="6.28515625" style="143" customWidth="1"/>
    <col min="6153" max="6153" width="8.5703125" style="143" customWidth="1"/>
    <col min="6154" max="6154" width="8" style="143" customWidth="1"/>
    <col min="6155" max="6155" width="8.5703125" style="143" customWidth="1"/>
    <col min="6156" max="6156" width="8.85546875" style="143" customWidth="1"/>
    <col min="6157" max="6157" width="8" style="143" customWidth="1"/>
    <col min="6158" max="6158" width="6.28515625" style="143" customWidth="1"/>
    <col min="6159" max="6159" width="8.28515625" style="143" customWidth="1"/>
    <col min="6160" max="6160" width="6.85546875" style="143" customWidth="1"/>
    <col min="6161" max="6161" width="6.42578125" style="143" customWidth="1"/>
    <col min="6162" max="6162" width="8.5703125" style="143" customWidth="1"/>
    <col min="6163" max="6163" width="9" style="143" customWidth="1"/>
    <col min="6164" max="6164" width="12.7109375" style="143" customWidth="1"/>
    <col min="6165" max="6165" width="7.42578125" style="143" bestFit="1" customWidth="1"/>
    <col min="6166" max="6167" width="12.7109375" style="143" customWidth="1"/>
    <col min="6168" max="6168" width="6.140625" style="143" bestFit="1" customWidth="1"/>
    <col min="6169" max="6170" width="12.7109375" style="143" customWidth="1"/>
    <col min="6171" max="6171" width="6.140625" style="143" bestFit="1" customWidth="1"/>
    <col min="6172" max="6175" width="12.7109375" style="143" customWidth="1"/>
    <col min="6176" max="6400" width="11.42578125" style="143"/>
    <col min="6401" max="6401" width="29.5703125" style="143" customWidth="1"/>
    <col min="6402" max="6402" width="9.7109375" style="143" customWidth="1"/>
    <col min="6403" max="6403" width="6.85546875" style="143" customWidth="1"/>
    <col min="6404" max="6404" width="8.42578125" style="143" customWidth="1"/>
    <col min="6405" max="6405" width="7.28515625" style="143" customWidth="1"/>
    <col min="6406" max="6406" width="8.85546875" style="143" bestFit="1" customWidth="1"/>
    <col min="6407" max="6407" width="7.42578125" style="143" bestFit="1" customWidth="1"/>
    <col min="6408" max="6408" width="6.28515625" style="143" customWidth="1"/>
    <col min="6409" max="6409" width="8.5703125" style="143" customWidth="1"/>
    <col min="6410" max="6410" width="8" style="143" customWidth="1"/>
    <col min="6411" max="6411" width="8.5703125" style="143" customWidth="1"/>
    <col min="6412" max="6412" width="8.85546875" style="143" customWidth="1"/>
    <col min="6413" max="6413" width="8" style="143" customWidth="1"/>
    <col min="6414" max="6414" width="6.28515625" style="143" customWidth="1"/>
    <col min="6415" max="6415" width="8.28515625" style="143" customWidth="1"/>
    <col min="6416" max="6416" width="6.85546875" style="143" customWidth="1"/>
    <col min="6417" max="6417" width="6.42578125" style="143" customWidth="1"/>
    <col min="6418" max="6418" width="8.5703125" style="143" customWidth="1"/>
    <col min="6419" max="6419" width="9" style="143" customWidth="1"/>
    <col min="6420" max="6420" width="12.7109375" style="143" customWidth="1"/>
    <col min="6421" max="6421" width="7.42578125" style="143" bestFit="1" customWidth="1"/>
    <col min="6422" max="6423" width="12.7109375" style="143" customWidth="1"/>
    <col min="6424" max="6424" width="6.140625" style="143" bestFit="1" customWidth="1"/>
    <col min="6425" max="6426" width="12.7109375" style="143" customWidth="1"/>
    <col min="6427" max="6427" width="6.140625" style="143" bestFit="1" customWidth="1"/>
    <col min="6428" max="6431" width="12.7109375" style="143" customWidth="1"/>
    <col min="6432" max="6656" width="11.42578125" style="143"/>
    <col min="6657" max="6657" width="29.5703125" style="143" customWidth="1"/>
    <col min="6658" max="6658" width="9.7109375" style="143" customWidth="1"/>
    <col min="6659" max="6659" width="6.85546875" style="143" customWidth="1"/>
    <col min="6660" max="6660" width="8.42578125" style="143" customWidth="1"/>
    <col min="6661" max="6661" width="7.28515625" style="143" customWidth="1"/>
    <col min="6662" max="6662" width="8.85546875" style="143" bestFit="1" customWidth="1"/>
    <col min="6663" max="6663" width="7.42578125" style="143" bestFit="1" customWidth="1"/>
    <col min="6664" max="6664" width="6.28515625" style="143" customWidth="1"/>
    <col min="6665" max="6665" width="8.5703125" style="143" customWidth="1"/>
    <col min="6666" max="6666" width="8" style="143" customWidth="1"/>
    <col min="6667" max="6667" width="8.5703125" style="143" customWidth="1"/>
    <col min="6668" max="6668" width="8.85546875" style="143" customWidth="1"/>
    <col min="6669" max="6669" width="8" style="143" customWidth="1"/>
    <col min="6670" max="6670" width="6.28515625" style="143" customWidth="1"/>
    <col min="6671" max="6671" width="8.28515625" style="143" customWidth="1"/>
    <col min="6672" max="6672" width="6.85546875" style="143" customWidth="1"/>
    <col min="6673" max="6673" width="6.42578125" style="143" customWidth="1"/>
    <col min="6674" max="6674" width="8.5703125" style="143" customWidth="1"/>
    <col min="6675" max="6675" width="9" style="143" customWidth="1"/>
    <col min="6676" max="6676" width="12.7109375" style="143" customWidth="1"/>
    <col min="6677" max="6677" width="7.42578125" style="143" bestFit="1" customWidth="1"/>
    <col min="6678" max="6679" width="12.7109375" style="143" customWidth="1"/>
    <col min="6680" max="6680" width="6.140625" style="143" bestFit="1" customWidth="1"/>
    <col min="6681" max="6682" width="12.7109375" style="143" customWidth="1"/>
    <col min="6683" max="6683" width="6.140625" style="143" bestFit="1" customWidth="1"/>
    <col min="6684" max="6687" width="12.7109375" style="143" customWidth="1"/>
    <col min="6688" max="6912" width="11.42578125" style="143"/>
    <col min="6913" max="6913" width="29.5703125" style="143" customWidth="1"/>
    <col min="6914" max="6914" width="9.7109375" style="143" customWidth="1"/>
    <col min="6915" max="6915" width="6.85546875" style="143" customWidth="1"/>
    <col min="6916" max="6916" width="8.42578125" style="143" customWidth="1"/>
    <col min="6917" max="6917" width="7.28515625" style="143" customWidth="1"/>
    <col min="6918" max="6918" width="8.85546875" style="143" bestFit="1" customWidth="1"/>
    <col min="6919" max="6919" width="7.42578125" style="143" bestFit="1" customWidth="1"/>
    <col min="6920" max="6920" width="6.28515625" style="143" customWidth="1"/>
    <col min="6921" max="6921" width="8.5703125" style="143" customWidth="1"/>
    <col min="6922" max="6922" width="8" style="143" customWidth="1"/>
    <col min="6923" max="6923" width="8.5703125" style="143" customWidth="1"/>
    <col min="6924" max="6924" width="8.85546875" style="143" customWidth="1"/>
    <col min="6925" max="6925" width="8" style="143" customWidth="1"/>
    <col min="6926" max="6926" width="6.28515625" style="143" customWidth="1"/>
    <col min="6927" max="6927" width="8.28515625" style="143" customWidth="1"/>
    <col min="6928" max="6928" width="6.85546875" style="143" customWidth="1"/>
    <col min="6929" max="6929" width="6.42578125" style="143" customWidth="1"/>
    <col min="6930" max="6930" width="8.5703125" style="143" customWidth="1"/>
    <col min="6931" max="6931" width="9" style="143" customWidth="1"/>
    <col min="6932" max="6932" width="12.7109375" style="143" customWidth="1"/>
    <col min="6933" max="6933" width="7.42578125" style="143" bestFit="1" customWidth="1"/>
    <col min="6934" max="6935" width="12.7109375" style="143" customWidth="1"/>
    <col min="6936" max="6936" width="6.140625" style="143" bestFit="1" customWidth="1"/>
    <col min="6937" max="6938" width="12.7109375" style="143" customWidth="1"/>
    <col min="6939" max="6939" width="6.140625" style="143" bestFit="1" customWidth="1"/>
    <col min="6940" max="6943" width="12.7109375" style="143" customWidth="1"/>
    <col min="6944" max="7168" width="11.42578125" style="143"/>
    <col min="7169" max="7169" width="29.5703125" style="143" customWidth="1"/>
    <col min="7170" max="7170" width="9.7109375" style="143" customWidth="1"/>
    <col min="7171" max="7171" width="6.85546875" style="143" customWidth="1"/>
    <col min="7172" max="7172" width="8.42578125" style="143" customWidth="1"/>
    <col min="7173" max="7173" width="7.28515625" style="143" customWidth="1"/>
    <col min="7174" max="7174" width="8.85546875" style="143" bestFit="1" customWidth="1"/>
    <col min="7175" max="7175" width="7.42578125" style="143" bestFit="1" customWidth="1"/>
    <col min="7176" max="7176" width="6.28515625" style="143" customWidth="1"/>
    <col min="7177" max="7177" width="8.5703125" style="143" customWidth="1"/>
    <col min="7178" max="7178" width="8" style="143" customWidth="1"/>
    <col min="7179" max="7179" width="8.5703125" style="143" customWidth="1"/>
    <col min="7180" max="7180" width="8.85546875" style="143" customWidth="1"/>
    <col min="7181" max="7181" width="8" style="143" customWidth="1"/>
    <col min="7182" max="7182" width="6.28515625" style="143" customWidth="1"/>
    <col min="7183" max="7183" width="8.28515625" style="143" customWidth="1"/>
    <col min="7184" max="7184" width="6.85546875" style="143" customWidth="1"/>
    <col min="7185" max="7185" width="6.42578125" style="143" customWidth="1"/>
    <col min="7186" max="7186" width="8.5703125" style="143" customWidth="1"/>
    <col min="7187" max="7187" width="9" style="143" customWidth="1"/>
    <col min="7188" max="7188" width="12.7109375" style="143" customWidth="1"/>
    <col min="7189" max="7189" width="7.42578125" style="143" bestFit="1" customWidth="1"/>
    <col min="7190" max="7191" width="12.7109375" style="143" customWidth="1"/>
    <col min="7192" max="7192" width="6.140625" style="143" bestFit="1" customWidth="1"/>
    <col min="7193" max="7194" width="12.7109375" style="143" customWidth="1"/>
    <col min="7195" max="7195" width="6.140625" style="143" bestFit="1" customWidth="1"/>
    <col min="7196" max="7199" width="12.7109375" style="143" customWidth="1"/>
    <col min="7200" max="7424" width="11.42578125" style="143"/>
    <col min="7425" max="7425" width="29.5703125" style="143" customWidth="1"/>
    <col min="7426" max="7426" width="9.7109375" style="143" customWidth="1"/>
    <col min="7427" max="7427" width="6.85546875" style="143" customWidth="1"/>
    <col min="7428" max="7428" width="8.42578125" style="143" customWidth="1"/>
    <col min="7429" max="7429" width="7.28515625" style="143" customWidth="1"/>
    <col min="7430" max="7430" width="8.85546875" style="143" bestFit="1" customWidth="1"/>
    <col min="7431" max="7431" width="7.42578125" style="143" bestFit="1" customWidth="1"/>
    <col min="7432" max="7432" width="6.28515625" style="143" customWidth="1"/>
    <col min="7433" max="7433" width="8.5703125" style="143" customWidth="1"/>
    <col min="7434" max="7434" width="8" style="143" customWidth="1"/>
    <col min="7435" max="7435" width="8.5703125" style="143" customWidth="1"/>
    <col min="7436" max="7436" width="8.85546875" style="143" customWidth="1"/>
    <col min="7437" max="7437" width="8" style="143" customWidth="1"/>
    <col min="7438" max="7438" width="6.28515625" style="143" customWidth="1"/>
    <col min="7439" max="7439" width="8.28515625" style="143" customWidth="1"/>
    <col min="7440" max="7440" width="6.85546875" style="143" customWidth="1"/>
    <col min="7441" max="7441" width="6.42578125" style="143" customWidth="1"/>
    <col min="7442" max="7442" width="8.5703125" style="143" customWidth="1"/>
    <col min="7443" max="7443" width="9" style="143" customWidth="1"/>
    <col min="7444" max="7444" width="12.7109375" style="143" customWidth="1"/>
    <col min="7445" max="7445" width="7.42578125" style="143" bestFit="1" customWidth="1"/>
    <col min="7446" max="7447" width="12.7109375" style="143" customWidth="1"/>
    <col min="7448" max="7448" width="6.140625" style="143" bestFit="1" customWidth="1"/>
    <col min="7449" max="7450" width="12.7109375" style="143" customWidth="1"/>
    <col min="7451" max="7451" width="6.140625" style="143" bestFit="1" customWidth="1"/>
    <col min="7452" max="7455" width="12.7109375" style="143" customWidth="1"/>
    <col min="7456" max="7680" width="11.42578125" style="143"/>
    <col min="7681" max="7681" width="29.5703125" style="143" customWidth="1"/>
    <col min="7682" max="7682" width="9.7109375" style="143" customWidth="1"/>
    <col min="7683" max="7683" width="6.85546875" style="143" customWidth="1"/>
    <col min="7684" max="7684" width="8.42578125" style="143" customWidth="1"/>
    <col min="7685" max="7685" width="7.28515625" style="143" customWidth="1"/>
    <col min="7686" max="7686" width="8.85546875" style="143" bestFit="1" customWidth="1"/>
    <col min="7687" max="7687" width="7.42578125" style="143" bestFit="1" customWidth="1"/>
    <col min="7688" max="7688" width="6.28515625" style="143" customWidth="1"/>
    <col min="7689" max="7689" width="8.5703125" style="143" customWidth="1"/>
    <col min="7690" max="7690" width="8" style="143" customWidth="1"/>
    <col min="7691" max="7691" width="8.5703125" style="143" customWidth="1"/>
    <col min="7692" max="7692" width="8.85546875" style="143" customWidth="1"/>
    <col min="7693" max="7693" width="8" style="143" customWidth="1"/>
    <col min="7694" max="7694" width="6.28515625" style="143" customWidth="1"/>
    <col min="7695" max="7695" width="8.28515625" style="143" customWidth="1"/>
    <col min="7696" max="7696" width="6.85546875" style="143" customWidth="1"/>
    <col min="7697" max="7697" width="6.42578125" style="143" customWidth="1"/>
    <col min="7698" max="7698" width="8.5703125" style="143" customWidth="1"/>
    <col min="7699" max="7699" width="9" style="143" customWidth="1"/>
    <col min="7700" max="7700" width="12.7109375" style="143" customWidth="1"/>
    <col min="7701" max="7701" width="7.42578125" style="143" bestFit="1" customWidth="1"/>
    <col min="7702" max="7703" width="12.7109375" style="143" customWidth="1"/>
    <col min="7704" max="7704" width="6.140625" style="143" bestFit="1" customWidth="1"/>
    <col min="7705" max="7706" width="12.7109375" style="143" customWidth="1"/>
    <col min="7707" max="7707" width="6.140625" style="143" bestFit="1" customWidth="1"/>
    <col min="7708" max="7711" width="12.7109375" style="143" customWidth="1"/>
    <col min="7712" max="7936" width="11.42578125" style="143"/>
    <col min="7937" max="7937" width="29.5703125" style="143" customWidth="1"/>
    <col min="7938" max="7938" width="9.7109375" style="143" customWidth="1"/>
    <col min="7939" max="7939" width="6.85546875" style="143" customWidth="1"/>
    <col min="7940" max="7940" width="8.42578125" style="143" customWidth="1"/>
    <col min="7941" max="7941" width="7.28515625" style="143" customWidth="1"/>
    <col min="7942" max="7942" width="8.85546875" style="143" bestFit="1" customWidth="1"/>
    <col min="7943" max="7943" width="7.42578125" style="143" bestFit="1" customWidth="1"/>
    <col min="7944" max="7944" width="6.28515625" style="143" customWidth="1"/>
    <col min="7945" max="7945" width="8.5703125" style="143" customWidth="1"/>
    <col min="7946" max="7946" width="8" style="143" customWidth="1"/>
    <col min="7947" max="7947" width="8.5703125" style="143" customWidth="1"/>
    <col min="7948" max="7948" width="8.85546875" style="143" customWidth="1"/>
    <col min="7949" max="7949" width="8" style="143" customWidth="1"/>
    <col min="7950" max="7950" width="6.28515625" style="143" customWidth="1"/>
    <col min="7951" max="7951" width="8.28515625" style="143" customWidth="1"/>
    <col min="7952" max="7952" width="6.85546875" style="143" customWidth="1"/>
    <col min="7953" max="7953" width="6.42578125" style="143" customWidth="1"/>
    <col min="7954" max="7954" width="8.5703125" style="143" customWidth="1"/>
    <col min="7955" max="7955" width="9" style="143" customWidth="1"/>
    <col min="7956" max="7956" width="12.7109375" style="143" customWidth="1"/>
    <col min="7957" max="7957" width="7.42578125" style="143" bestFit="1" customWidth="1"/>
    <col min="7958" max="7959" width="12.7109375" style="143" customWidth="1"/>
    <col min="7960" max="7960" width="6.140625" style="143" bestFit="1" customWidth="1"/>
    <col min="7961" max="7962" width="12.7109375" style="143" customWidth="1"/>
    <col min="7963" max="7963" width="6.140625" style="143" bestFit="1" customWidth="1"/>
    <col min="7964" max="7967" width="12.7109375" style="143" customWidth="1"/>
    <col min="7968" max="8192" width="11.42578125" style="143"/>
    <col min="8193" max="8193" width="29.5703125" style="143" customWidth="1"/>
    <col min="8194" max="8194" width="9.7109375" style="143" customWidth="1"/>
    <col min="8195" max="8195" width="6.85546875" style="143" customWidth="1"/>
    <col min="8196" max="8196" width="8.42578125" style="143" customWidth="1"/>
    <col min="8197" max="8197" width="7.28515625" style="143" customWidth="1"/>
    <col min="8198" max="8198" width="8.85546875" style="143" bestFit="1" customWidth="1"/>
    <col min="8199" max="8199" width="7.42578125" style="143" bestFit="1" customWidth="1"/>
    <col min="8200" max="8200" width="6.28515625" style="143" customWidth="1"/>
    <col min="8201" max="8201" width="8.5703125" style="143" customWidth="1"/>
    <col min="8202" max="8202" width="8" style="143" customWidth="1"/>
    <col min="8203" max="8203" width="8.5703125" style="143" customWidth="1"/>
    <col min="8204" max="8204" width="8.85546875" style="143" customWidth="1"/>
    <col min="8205" max="8205" width="8" style="143" customWidth="1"/>
    <col min="8206" max="8206" width="6.28515625" style="143" customWidth="1"/>
    <col min="8207" max="8207" width="8.28515625" style="143" customWidth="1"/>
    <col min="8208" max="8208" width="6.85546875" style="143" customWidth="1"/>
    <col min="8209" max="8209" width="6.42578125" style="143" customWidth="1"/>
    <col min="8210" max="8210" width="8.5703125" style="143" customWidth="1"/>
    <col min="8211" max="8211" width="9" style="143" customWidth="1"/>
    <col min="8212" max="8212" width="12.7109375" style="143" customWidth="1"/>
    <col min="8213" max="8213" width="7.42578125" style="143" bestFit="1" customWidth="1"/>
    <col min="8214" max="8215" width="12.7109375" style="143" customWidth="1"/>
    <col min="8216" max="8216" width="6.140625" style="143" bestFit="1" customWidth="1"/>
    <col min="8217" max="8218" width="12.7109375" style="143" customWidth="1"/>
    <col min="8219" max="8219" width="6.140625" style="143" bestFit="1" customWidth="1"/>
    <col min="8220" max="8223" width="12.7109375" style="143" customWidth="1"/>
    <col min="8224" max="8448" width="11.42578125" style="143"/>
    <col min="8449" max="8449" width="29.5703125" style="143" customWidth="1"/>
    <col min="8450" max="8450" width="9.7109375" style="143" customWidth="1"/>
    <col min="8451" max="8451" width="6.85546875" style="143" customWidth="1"/>
    <col min="8452" max="8452" width="8.42578125" style="143" customWidth="1"/>
    <col min="8453" max="8453" width="7.28515625" style="143" customWidth="1"/>
    <col min="8454" max="8454" width="8.85546875" style="143" bestFit="1" customWidth="1"/>
    <col min="8455" max="8455" width="7.42578125" style="143" bestFit="1" customWidth="1"/>
    <col min="8456" max="8456" width="6.28515625" style="143" customWidth="1"/>
    <col min="8457" max="8457" width="8.5703125" style="143" customWidth="1"/>
    <col min="8458" max="8458" width="8" style="143" customWidth="1"/>
    <col min="8459" max="8459" width="8.5703125" style="143" customWidth="1"/>
    <col min="8460" max="8460" width="8.85546875" style="143" customWidth="1"/>
    <col min="8461" max="8461" width="8" style="143" customWidth="1"/>
    <col min="8462" max="8462" width="6.28515625" style="143" customWidth="1"/>
    <col min="8463" max="8463" width="8.28515625" style="143" customWidth="1"/>
    <col min="8464" max="8464" width="6.85546875" style="143" customWidth="1"/>
    <col min="8465" max="8465" width="6.42578125" style="143" customWidth="1"/>
    <col min="8466" max="8466" width="8.5703125" style="143" customWidth="1"/>
    <col min="8467" max="8467" width="9" style="143" customWidth="1"/>
    <col min="8468" max="8468" width="12.7109375" style="143" customWidth="1"/>
    <col min="8469" max="8469" width="7.42578125" style="143" bestFit="1" customWidth="1"/>
    <col min="8470" max="8471" width="12.7109375" style="143" customWidth="1"/>
    <col min="8472" max="8472" width="6.140625" style="143" bestFit="1" customWidth="1"/>
    <col min="8473" max="8474" width="12.7109375" style="143" customWidth="1"/>
    <col min="8475" max="8475" width="6.140625" style="143" bestFit="1" customWidth="1"/>
    <col min="8476" max="8479" width="12.7109375" style="143" customWidth="1"/>
    <col min="8480" max="8704" width="11.42578125" style="143"/>
    <col min="8705" max="8705" width="29.5703125" style="143" customWidth="1"/>
    <col min="8706" max="8706" width="9.7109375" style="143" customWidth="1"/>
    <col min="8707" max="8707" width="6.85546875" style="143" customWidth="1"/>
    <col min="8708" max="8708" width="8.42578125" style="143" customWidth="1"/>
    <col min="8709" max="8709" width="7.28515625" style="143" customWidth="1"/>
    <col min="8710" max="8710" width="8.85546875" style="143" bestFit="1" customWidth="1"/>
    <col min="8711" max="8711" width="7.42578125" style="143" bestFit="1" customWidth="1"/>
    <col min="8712" max="8712" width="6.28515625" style="143" customWidth="1"/>
    <col min="8713" max="8713" width="8.5703125" style="143" customWidth="1"/>
    <col min="8714" max="8714" width="8" style="143" customWidth="1"/>
    <col min="8715" max="8715" width="8.5703125" style="143" customWidth="1"/>
    <col min="8716" max="8716" width="8.85546875" style="143" customWidth="1"/>
    <col min="8717" max="8717" width="8" style="143" customWidth="1"/>
    <col min="8718" max="8718" width="6.28515625" style="143" customWidth="1"/>
    <col min="8719" max="8719" width="8.28515625" style="143" customWidth="1"/>
    <col min="8720" max="8720" width="6.85546875" style="143" customWidth="1"/>
    <col min="8721" max="8721" width="6.42578125" style="143" customWidth="1"/>
    <col min="8722" max="8722" width="8.5703125" style="143" customWidth="1"/>
    <col min="8723" max="8723" width="9" style="143" customWidth="1"/>
    <col min="8724" max="8724" width="12.7109375" style="143" customWidth="1"/>
    <col min="8725" max="8725" width="7.42578125" style="143" bestFit="1" customWidth="1"/>
    <col min="8726" max="8727" width="12.7109375" style="143" customWidth="1"/>
    <col min="8728" max="8728" width="6.140625" style="143" bestFit="1" customWidth="1"/>
    <col min="8729" max="8730" width="12.7109375" style="143" customWidth="1"/>
    <col min="8731" max="8731" width="6.140625" style="143" bestFit="1" customWidth="1"/>
    <col min="8732" max="8735" width="12.7109375" style="143" customWidth="1"/>
    <col min="8736" max="8960" width="11.42578125" style="143"/>
    <col min="8961" max="8961" width="29.5703125" style="143" customWidth="1"/>
    <col min="8962" max="8962" width="9.7109375" style="143" customWidth="1"/>
    <col min="8963" max="8963" width="6.85546875" style="143" customWidth="1"/>
    <col min="8964" max="8964" width="8.42578125" style="143" customWidth="1"/>
    <col min="8965" max="8965" width="7.28515625" style="143" customWidth="1"/>
    <col min="8966" max="8966" width="8.85546875" style="143" bestFit="1" customWidth="1"/>
    <col min="8967" max="8967" width="7.42578125" style="143" bestFit="1" customWidth="1"/>
    <col min="8968" max="8968" width="6.28515625" style="143" customWidth="1"/>
    <col min="8969" max="8969" width="8.5703125" style="143" customWidth="1"/>
    <col min="8970" max="8970" width="8" style="143" customWidth="1"/>
    <col min="8971" max="8971" width="8.5703125" style="143" customWidth="1"/>
    <col min="8972" max="8972" width="8.85546875" style="143" customWidth="1"/>
    <col min="8973" max="8973" width="8" style="143" customWidth="1"/>
    <col min="8974" max="8974" width="6.28515625" style="143" customWidth="1"/>
    <col min="8975" max="8975" width="8.28515625" style="143" customWidth="1"/>
    <col min="8976" max="8976" width="6.85546875" style="143" customWidth="1"/>
    <col min="8977" max="8977" width="6.42578125" style="143" customWidth="1"/>
    <col min="8978" max="8978" width="8.5703125" style="143" customWidth="1"/>
    <col min="8979" max="8979" width="9" style="143" customWidth="1"/>
    <col min="8980" max="8980" width="12.7109375" style="143" customWidth="1"/>
    <col min="8981" max="8981" width="7.42578125" style="143" bestFit="1" customWidth="1"/>
    <col min="8982" max="8983" width="12.7109375" style="143" customWidth="1"/>
    <col min="8984" max="8984" width="6.140625" style="143" bestFit="1" customWidth="1"/>
    <col min="8985" max="8986" width="12.7109375" style="143" customWidth="1"/>
    <col min="8987" max="8987" width="6.140625" style="143" bestFit="1" customWidth="1"/>
    <col min="8988" max="8991" width="12.7109375" style="143" customWidth="1"/>
    <col min="8992" max="9216" width="11.42578125" style="143"/>
    <col min="9217" max="9217" width="29.5703125" style="143" customWidth="1"/>
    <col min="9218" max="9218" width="9.7109375" style="143" customWidth="1"/>
    <col min="9219" max="9219" width="6.85546875" style="143" customWidth="1"/>
    <col min="9220" max="9220" width="8.42578125" style="143" customWidth="1"/>
    <col min="9221" max="9221" width="7.28515625" style="143" customWidth="1"/>
    <col min="9222" max="9222" width="8.85546875" style="143" bestFit="1" customWidth="1"/>
    <col min="9223" max="9223" width="7.42578125" style="143" bestFit="1" customWidth="1"/>
    <col min="9224" max="9224" width="6.28515625" style="143" customWidth="1"/>
    <col min="9225" max="9225" width="8.5703125" style="143" customWidth="1"/>
    <col min="9226" max="9226" width="8" style="143" customWidth="1"/>
    <col min="9227" max="9227" width="8.5703125" style="143" customWidth="1"/>
    <col min="9228" max="9228" width="8.85546875" style="143" customWidth="1"/>
    <col min="9229" max="9229" width="8" style="143" customWidth="1"/>
    <col min="9230" max="9230" width="6.28515625" style="143" customWidth="1"/>
    <col min="9231" max="9231" width="8.28515625" style="143" customWidth="1"/>
    <col min="9232" max="9232" width="6.85546875" style="143" customWidth="1"/>
    <col min="9233" max="9233" width="6.42578125" style="143" customWidth="1"/>
    <col min="9234" max="9234" width="8.5703125" style="143" customWidth="1"/>
    <col min="9235" max="9235" width="9" style="143" customWidth="1"/>
    <col min="9236" max="9236" width="12.7109375" style="143" customWidth="1"/>
    <col min="9237" max="9237" width="7.42578125" style="143" bestFit="1" customWidth="1"/>
    <col min="9238" max="9239" width="12.7109375" style="143" customWidth="1"/>
    <col min="9240" max="9240" width="6.140625" style="143" bestFit="1" customWidth="1"/>
    <col min="9241" max="9242" width="12.7109375" style="143" customWidth="1"/>
    <col min="9243" max="9243" width="6.140625" style="143" bestFit="1" customWidth="1"/>
    <col min="9244" max="9247" width="12.7109375" style="143" customWidth="1"/>
    <col min="9248" max="9472" width="11.42578125" style="143"/>
    <col min="9473" max="9473" width="29.5703125" style="143" customWidth="1"/>
    <col min="9474" max="9474" width="9.7109375" style="143" customWidth="1"/>
    <col min="9475" max="9475" width="6.85546875" style="143" customWidth="1"/>
    <col min="9476" max="9476" width="8.42578125" style="143" customWidth="1"/>
    <col min="9477" max="9477" width="7.28515625" style="143" customWidth="1"/>
    <col min="9478" max="9478" width="8.85546875" style="143" bestFit="1" customWidth="1"/>
    <col min="9479" max="9479" width="7.42578125" style="143" bestFit="1" customWidth="1"/>
    <col min="9480" max="9480" width="6.28515625" style="143" customWidth="1"/>
    <col min="9481" max="9481" width="8.5703125" style="143" customWidth="1"/>
    <col min="9482" max="9482" width="8" style="143" customWidth="1"/>
    <col min="9483" max="9483" width="8.5703125" style="143" customWidth="1"/>
    <col min="9484" max="9484" width="8.85546875" style="143" customWidth="1"/>
    <col min="9485" max="9485" width="8" style="143" customWidth="1"/>
    <col min="9486" max="9486" width="6.28515625" style="143" customWidth="1"/>
    <col min="9487" max="9487" width="8.28515625" style="143" customWidth="1"/>
    <col min="9488" max="9488" width="6.85546875" style="143" customWidth="1"/>
    <col min="9489" max="9489" width="6.42578125" style="143" customWidth="1"/>
    <col min="9490" max="9490" width="8.5703125" style="143" customWidth="1"/>
    <col min="9491" max="9491" width="9" style="143" customWidth="1"/>
    <col min="9492" max="9492" width="12.7109375" style="143" customWidth="1"/>
    <col min="9493" max="9493" width="7.42578125" style="143" bestFit="1" customWidth="1"/>
    <col min="9494" max="9495" width="12.7109375" style="143" customWidth="1"/>
    <col min="9496" max="9496" width="6.140625" style="143" bestFit="1" customWidth="1"/>
    <col min="9497" max="9498" width="12.7109375" style="143" customWidth="1"/>
    <col min="9499" max="9499" width="6.140625" style="143" bestFit="1" customWidth="1"/>
    <col min="9500" max="9503" width="12.7109375" style="143" customWidth="1"/>
    <col min="9504" max="9728" width="11.42578125" style="143"/>
    <col min="9729" max="9729" width="29.5703125" style="143" customWidth="1"/>
    <col min="9730" max="9730" width="9.7109375" style="143" customWidth="1"/>
    <col min="9731" max="9731" width="6.85546875" style="143" customWidth="1"/>
    <col min="9732" max="9732" width="8.42578125" style="143" customWidth="1"/>
    <col min="9733" max="9733" width="7.28515625" style="143" customWidth="1"/>
    <col min="9734" max="9734" width="8.85546875" style="143" bestFit="1" customWidth="1"/>
    <col min="9735" max="9735" width="7.42578125" style="143" bestFit="1" customWidth="1"/>
    <col min="9736" max="9736" width="6.28515625" style="143" customWidth="1"/>
    <col min="9737" max="9737" width="8.5703125" style="143" customWidth="1"/>
    <col min="9738" max="9738" width="8" style="143" customWidth="1"/>
    <col min="9739" max="9739" width="8.5703125" style="143" customWidth="1"/>
    <col min="9740" max="9740" width="8.85546875" style="143" customWidth="1"/>
    <col min="9741" max="9741" width="8" style="143" customWidth="1"/>
    <col min="9742" max="9742" width="6.28515625" style="143" customWidth="1"/>
    <col min="9743" max="9743" width="8.28515625" style="143" customWidth="1"/>
    <col min="9744" max="9744" width="6.85546875" style="143" customWidth="1"/>
    <col min="9745" max="9745" width="6.42578125" style="143" customWidth="1"/>
    <col min="9746" max="9746" width="8.5703125" style="143" customWidth="1"/>
    <col min="9747" max="9747" width="9" style="143" customWidth="1"/>
    <col min="9748" max="9748" width="12.7109375" style="143" customWidth="1"/>
    <col min="9749" max="9749" width="7.42578125" style="143" bestFit="1" customWidth="1"/>
    <col min="9750" max="9751" width="12.7109375" style="143" customWidth="1"/>
    <col min="9752" max="9752" width="6.140625" style="143" bestFit="1" customWidth="1"/>
    <col min="9753" max="9754" width="12.7109375" style="143" customWidth="1"/>
    <col min="9755" max="9755" width="6.140625" style="143" bestFit="1" customWidth="1"/>
    <col min="9756" max="9759" width="12.7109375" style="143" customWidth="1"/>
    <col min="9760" max="9984" width="11.42578125" style="143"/>
    <col min="9985" max="9985" width="29.5703125" style="143" customWidth="1"/>
    <col min="9986" max="9986" width="9.7109375" style="143" customWidth="1"/>
    <col min="9987" max="9987" width="6.85546875" style="143" customWidth="1"/>
    <col min="9988" max="9988" width="8.42578125" style="143" customWidth="1"/>
    <col min="9989" max="9989" width="7.28515625" style="143" customWidth="1"/>
    <col min="9990" max="9990" width="8.85546875" style="143" bestFit="1" customWidth="1"/>
    <col min="9991" max="9991" width="7.42578125" style="143" bestFit="1" customWidth="1"/>
    <col min="9992" max="9992" width="6.28515625" style="143" customWidth="1"/>
    <col min="9993" max="9993" width="8.5703125" style="143" customWidth="1"/>
    <col min="9994" max="9994" width="8" style="143" customWidth="1"/>
    <col min="9995" max="9995" width="8.5703125" style="143" customWidth="1"/>
    <col min="9996" max="9996" width="8.85546875" style="143" customWidth="1"/>
    <col min="9997" max="9997" width="8" style="143" customWidth="1"/>
    <col min="9998" max="9998" width="6.28515625" style="143" customWidth="1"/>
    <col min="9999" max="9999" width="8.28515625" style="143" customWidth="1"/>
    <col min="10000" max="10000" width="6.85546875" style="143" customWidth="1"/>
    <col min="10001" max="10001" width="6.42578125" style="143" customWidth="1"/>
    <col min="10002" max="10002" width="8.5703125" style="143" customWidth="1"/>
    <col min="10003" max="10003" width="9" style="143" customWidth="1"/>
    <col min="10004" max="10004" width="12.7109375" style="143" customWidth="1"/>
    <col min="10005" max="10005" width="7.42578125" style="143" bestFit="1" customWidth="1"/>
    <col min="10006" max="10007" width="12.7109375" style="143" customWidth="1"/>
    <col min="10008" max="10008" width="6.140625" style="143" bestFit="1" customWidth="1"/>
    <col min="10009" max="10010" width="12.7109375" style="143" customWidth="1"/>
    <col min="10011" max="10011" width="6.140625" style="143" bestFit="1" customWidth="1"/>
    <col min="10012" max="10015" width="12.7109375" style="143" customWidth="1"/>
    <col min="10016" max="10240" width="11.42578125" style="143"/>
    <col min="10241" max="10241" width="29.5703125" style="143" customWidth="1"/>
    <col min="10242" max="10242" width="9.7109375" style="143" customWidth="1"/>
    <col min="10243" max="10243" width="6.85546875" style="143" customWidth="1"/>
    <col min="10244" max="10244" width="8.42578125" style="143" customWidth="1"/>
    <col min="10245" max="10245" width="7.28515625" style="143" customWidth="1"/>
    <col min="10246" max="10246" width="8.85546875" style="143" bestFit="1" customWidth="1"/>
    <col min="10247" max="10247" width="7.42578125" style="143" bestFit="1" customWidth="1"/>
    <col min="10248" max="10248" width="6.28515625" style="143" customWidth="1"/>
    <col min="10249" max="10249" width="8.5703125" style="143" customWidth="1"/>
    <col min="10250" max="10250" width="8" style="143" customWidth="1"/>
    <col min="10251" max="10251" width="8.5703125" style="143" customWidth="1"/>
    <col min="10252" max="10252" width="8.85546875" style="143" customWidth="1"/>
    <col min="10253" max="10253" width="8" style="143" customWidth="1"/>
    <col min="10254" max="10254" width="6.28515625" style="143" customWidth="1"/>
    <col min="10255" max="10255" width="8.28515625" style="143" customWidth="1"/>
    <col min="10256" max="10256" width="6.85546875" style="143" customWidth="1"/>
    <col min="10257" max="10257" width="6.42578125" style="143" customWidth="1"/>
    <col min="10258" max="10258" width="8.5703125" style="143" customWidth="1"/>
    <col min="10259" max="10259" width="9" style="143" customWidth="1"/>
    <col min="10260" max="10260" width="12.7109375" style="143" customWidth="1"/>
    <col min="10261" max="10261" width="7.42578125" style="143" bestFit="1" customWidth="1"/>
    <col min="10262" max="10263" width="12.7109375" style="143" customWidth="1"/>
    <col min="10264" max="10264" width="6.140625" style="143" bestFit="1" customWidth="1"/>
    <col min="10265" max="10266" width="12.7109375" style="143" customWidth="1"/>
    <col min="10267" max="10267" width="6.140625" style="143" bestFit="1" customWidth="1"/>
    <col min="10268" max="10271" width="12.7109375" style="143" customWidth="1"/>
    <col min="10272" max="10496" width="11.42578125" style="143"/>
    <col min="10497" max="10497" width="29.5703125" style="143" customWidth="1"/>
    <col min="10498" max="10498" width="9.7109375" style="143" customWidth="1"/>
    <col min="10499" max="10499" width="6.85546875" style="143" customWidth="1"/>
    <col min="10500" max="10500" width="8.42578125" style="143" customWidth="1"/>
    <col min="10501" max="10501" width="7.28515625" style="143" customWidth="1"/>
    <col min="10502" max="10502" width="8.85546875" style="143" bestFit="1" customWidth="1"/>
    <col min="10503" max="10503" width="7.42578125" style="143" bestFit="1" customWidth="1"/>
    <col min="10504" max="10504" width="6.28515625" style="143" customWidth="1"/>
    <col min="10505" max="10505" width="8.5703125" style="143" customWidth="1"/>
    <col min="10506" max="10506" width="8" style="143" customWidth="1"/>
    <col min="10507" max="10507" width="8.5703125" style="143" customWidth="1"/>
    <col min="10508" max="10508" width="8.85546875" style="143" customWidth="1"/>
    <col min="10509" max="10509" width="8" style="143" customWidth="1"/>
    <col min="10510" max="10510" width="6.28515625" style="143" customWidth="1"/>
    <col min="10511" max="10511" width="8.28515625" style="143" customWidth="1"/>
    <col min="10512" max="10512" width="6.85546875" style="143" customWidth="1"/>
    <col min="10513" max="10513" width="6.42578125" style="143" customWidth="1"/>
    <col min="10514" max="10514" width="8.5703125" style="143" customWidth="1"/>
    <col min="10515" max="10515" width="9" style="143" customWidth="1"/>
    <col min="10516" max="10516" width="12.7109375" style="143" customWidth="1"/>
    <col min="10517" max="10517" width="7.42578125" style="143" bestFit="1" customWidth="1"/>
    <col min="10518" max="10519" width="12.7109375" style="143" customWidth="1"/>
    <col min="10520" max="10520" width="6.140625" style="143" bestFit="1" customWidth="1"/>
    <col min="10521" max="10522" width="12.7109375" style="143" customWidth="1"/>
    <col min="10523" max="10523" width="6.140625" style="143" bestFit="1" customWidth="1"/>
    <col min="10524" max="10527" width="12.7109375" style="143" customWidth="1"/>
    <col min="10528" max="10752" width="11.42578125" style="143"/>
    <col min="10753" max="10753" width="29.5703125" style="143" customWidth="1"/>
    <col min="10754" max="10754" width="9.7109375" style="143" customWidth="1"/>
    <col min="10755" max="10755" width="6.85546875" style="143" customWidth="1"/>
    <col min="10756" max="10756" width="8.42578125" style="143" customWidth="1"/>
    <col min="10757" max="10757" width="7.28515625" style="143" customWidth="1"/>
    <col min="10758" max="10758" width="8.85546875" style="143" bestFit="1" customWidth="1"/>
    <col min="10759" max="10759" width="7.42578125" style="143" bestFit="1" customWidth="1"/>
    <col min="10760" max="10760" width="6.28515625" style="143" customWidth="1"/>
    <col min="10761" max="10761" width="8.5703125" style="143" customWidth="1"/>
    <col min="10762" max="10762" width="8" style="143" customWidth="1"/>
    <col min="10763" max="10763" width="8.5703125" style="143" customWidth="1"/>
    <col min="10764" max="10764" width="8.85546875" style="143" customWidth="1"/>
    <col min="10765" max="10765" width="8" style="143" customWidth="1"/>
    <col min="10766" max="10766" width="6.28515625" style="143" customWidth="1"/>
    <col min="10767" max="10767" width="8.28515625" style="143" customWidth="1"/>
    <col min="10768" max="10768" width="6.85546875" style="143" customWidth="1"/>
    <col min="10769" max="10769" width="6.42578125" style="143" customWidth="1"/>
    <col min="10770" max="10770" width="8.5703125" style="143" customWidth="1"/>
    <col min="10771" max="10771" width="9" style="143" customWidth="1"/>
    <col min="10772" max="10772" width="12.7109375" style="143" customWidth="1"/>
    <col min="10773" max="10773" width="7.42578125" style="143" bestFit="1" customWidth="1"/>
    <col min="10774" max="10775" width="12.7109375" style="143" customWidth="1"/>
    <col min="10776" max="10776" width="6.140625" style="143" bestFit="1" customWidth="1"/>
    <col min="10777" max="10778" width="12.7109375" style="143" customWidth="1"/>
    <col min="10779" max="10779" width="6.140625" style="143" bestFit="1" customWidth="1"/>
    <col min="10780" max="10783" width="12.7109375" style="143" customWidth="1"/>
    <col min="10784" max="11008" width="11.42578125" style="143"/>
    <col min="11009" max="11009" width="29.5703125" style="143" customWidth="1"/>
    <col min="11010" max="11010" width="9.7109375" style="143" customWidth="1"/>
    <col min="11011" max="11011" width="6.85546875" style="143" customWidth="1"/>
    <col min="11012" max="11012" width="8.42578125" style="143" customWidth="1"/>
    <col min="11013" max="11013" width="7.28515625" style="143" customWidth="1"/>
    <col min="11014" max="11014" width="8.85546875" style="143" bestFit="1" customWidth="1"/>
    <col min="11015" max="11015" width="7.42578125" style="143" bestFit="1" customWidth="1"/>
    <col min="11016" max="11016" width="6.28515625" style="143" customWidth="1"/>
    <col min="11017" max="11017" width="8.5703125" style="143" customWidth="1"/>
    <col min="11018" max="11018" width="8" style="143" customWidth="1"/>
    <col min="11019" max="11019" width="8.5703125" style="143" customWidth="1"/>
    <col min="11020" max="11020" width="8.85546875" style="143" customWidth="1"/>
    <col min="11021" max="11021" width="8" style="143" customWidth="1"/>
    <col min="11022" max="11022" width="6.28515625" style="143" customWidth="1"/>
    <col min="11023" max="11023" width="8.28515625" style="143" customWidth="1"/>
    <col min="11024" max="11024" width="6.85546875" style="143" customWidth="1"/>
    <col min="11025" max="11025" width="6.42578125" style="143" customWidth="1"/>
    <col min="11026" max="11026" width="8.5703125" style="143" customWidth="1"/>
    <col min="11027" max="11027" width="9" style="143" customWidth="1"/>
    <col min="11028" max="11028" width="12.7109375" style="143" customWidth="1"/>
    <col min="11029" max="11029" width="7.42578125" style="143" bestFit="1" customWidth="1"/>
    <col min="11030" max="11031" width="12.7109375" style="143" customWidth="1"/>
    <col min="11032" max="11032" width="6.140625" style="143" bestFit="1" customWidth="1"/>
    <col min="11033" max="11034" width="12.7109375" style="143" customWidth="1"/>
    <col min="11035" max="11035" width="6.140625" style="143" bestFit="1" customWidth="1"/>
    <col min="11036" max="11039" width="12.7109375" style="143" customWidth="1"/>
    <col min="11040" max="11264" width="11.42578125" style="143"/>
    <col min="11265" max="11265" width="29.5703125" style="143" customWidth="1"/>
    <col min="11266" max="11266" width="9.7109375" style="143" customWidth="1"/>
    <col min="11267" max="11267" width="6.85546875" style="143" customWidth="1"/>
    <col min="11268" max="11268" width="8.42578125" style="143" customWidth="1"/>
    <col min="11269" max="11269" width="7.28515625" style="143" customWidth="1"/>
    <col min="11270" max="11270" width="8.85546875" style="143" bestFit="1" customWidth="1"/>
    <col min="11271" max="11271" width="7.42578125" style="143" bestFit="1" customWidth="1"/>
    <col min="11272" max="11272" width="6.28515625" style="143" customWidth="1"/>
    <col min="11273" max="11273" width="8.5703125" style="143" customWidth="1"/>
    <col min="11274" max="11274" width="8" style="143" customWidth="1"/>
    <col min="11275" max="11275" width="8.5703125" style="143" customWidth="1"/>
    <col min="11276" max="11276" width="8.85546875" style="143" customWidth="1"/>
    <col min="11277" max="11277" width="8" style="143" customWidth="1"/>
    <col min="11278" max="11278" width="6.28515625" style="143" customWidth="1"/>
    <col min="11279" max="11279" width="8.28515625" style="143" customWidth="1"/>
    <col min="11280" max="11280" width="6.85546875" style="143" customWidth="1"/>
    <col min="11281" max="11281" width="6.42578125" style="143" customWidth="1"/>
    <col min="11282" max="11282" width="8.5703125" style="143" customWidth="1"/>
    <col min="11283" max="11283" width="9" style="143" customWidth="1"/>
    <col min="11284" max="11284" width="12.7109375" style="143" customWidth="1"/>
    <col min="11285" max="11285" width="7.42578125" style="143" bestFit="1" customWidth="1"/>
    <col min="11286" max="11287" width="12.7109375" style="143" customWidth="1"/>
    <col min="11288" max="11288" width="6.140625" style="143" bestFit="1" customWidth="1"/>
    <col min="11289" max="11290" width="12.7109375" style="143" customWidth="1"/>
    <col min="11291" max="11291" width="6.140625" style="143" bestFit="1" customWidth="1"/>
    <col min="11292" max="11295" width="12.7109375" style="143" customWidth="1"/>
    <col min="11296" max="11520" width="11.42578125" style="143"/>
    <col min="11521" max="11521" width="29.5703125" style="143" customWidth="1"/>
    <col min="11522" max="11522" width="9.7109375" style="143" customWidth="1"/>
    <col min="11523" max="11523" width="6.85546875" style="143" customWidth="1"/>
    <col min="11524" max="11524" width="8.42578125" style="143" customWidth="1"/>
    <col min="11525" max="11525" width="7.28515625" style="143" customWidth="1"/>
    <col min="11526" max="11526" width="8.85546875" style="143" bestFit="1" customWidth="1"/>
    <col min="11527" max="11527" width="7.42578125" style="143" bestFit="1" customWidth="1"/>
    <col min="11528" max="11528" width="6.28515625" style="143" customWidth="1"/>
    <col min="11529" max="11529" width="8.5703125" style="143" customWidth="1"/>
    <col min="11530" max="11530" width="8" style="143" customWidth="1"/>
    <col min="11531" max="11531" width="8.5703125" style="143" customWidth="1"/>
    <col min="11532" max="11532" width="8.85546875" style="143" customWidth="1"/>
    <col min="11533" max="11533" width="8" style="143" customWidth="1"/>
    <col min="11534" max="11534" width="6.28515625" style="143" customWidth="1"/>
    <col min="11535" max="11535" width="8.28515625" style="143" customWidth="1"/>
    <col min="11536" max="11536" width="6.85546875" style="143" customWidth="1"/>
    <col min="11537" max="11537" width="6.42578125" style="143" customWidth="1"/>
    <col min="11538" max="11538" width="8.5703125" style="143" customWidth="1"/>
    <col min="11539" max="11539" width="9" style="143" customWidth="1"/>
    <col min="11540" max="11540" width="12.7109375" style="143" customWidth="1"/>
    <col min="11541" max="11541" width="7.42578125" style="143" bestFit="1" customWidth="1"/>
    <col min="11542" max="11543" width="12.7109375" style="143" customWidth="1"/>
    <col min="11544" max="11544" width="6.140625" style="143" bestFit="1" customWidth="1"/>
    <col min="11545" max="11546" width="12.7109375" style="143" customWidth="1"/>
    <col min="11547" max="11547" width="6.140625" style="143" bestFit="1" customWidth="1"/>
    <col min="11548" max="11551" width="12.7109375" style="143" customWidth="1"/>
    <col min="11552" max="11776" width="11.42578125" style="143"/>
    <col min="11777" max="11777" width="29.5703125" style="143" customWidth="1"/>
    <col min="11778" max="11778" width="9.7109375" style="143" customWidth="1"/>
    <col min="11779" max="11779" width="6.85546875" style="143" customWidth="1"/>
    <col min="11780" max="11780" width="8.42578125" style="143" customWidth="1"/>
    <col min="11781" max="11781" width="7.28515625" style="143" customWidth="1"/>
    <col min="11782" max="11782" width="8.85546875" style="143" bestFit="1" customWidth="1"/>
    <col min="11783" max="11783" width="7.42578125" style="143" bestFit="1" customWidth="1"/>
    <col min="11784" max="11784" width="6.28515625" style="143" customWidth="1"/>
    <col min="11785" max="11785" width="8.5703125" style="143" customWidth="1"/>
    <col min="11786" max="11786" width="8" style="143" customWidth="1"/>
    <col min="11787" max="11787" width="8.5703125" style="143" customWidth="1"/>
    <col min="11788" max="11788" width="8.85546875" style="143" customWidth="1"/>
    <col min="11789" max="11789" width="8" style="143" customWidth="1"/>
    <col min="11790" max="11790" width="6.28515625" style="143" customWidth="1"/>
    <col min="11791" max="11791" width="8.28515625" style="143" customWidth="1"/>
    <col min="11792" max="11792" width="6.85546875" style="143" customWidth="1"/>
    <col min="11793" max="11793" width="6.42578125" style="143" customWidth="1"/>
    <col min="11794" max="11794" width="8.5703125" style="143" customWidth="1"/>
    <col min="11795" max="11795" width="9" style="143" customWidth="1"/>
    <col min="11796" max="11796" width="12.7109375" style="143" customWidth="1"/>
    <col min="11797" max="11797" width="7.42578125" style="143" bestFit="1" customWidth="1"/>
    <col min="11798" max="11799" width="12.7109375" style="143" customWidth="1"/>
    <col min="11800" max="11800" width="6.140625" style="143" bestFit="1" customWidth="1"/>
    <col min="11801" max="11802" width="12.7109375" style="143" customWidth="1"/>
    <col min="11803" max="11803" width="6.140625" style="143" bestFit="1" customWidth="1"/>
    <col min="11804" max="11807" width="12.7109375" style="143" customWidth="1"/>
    <col min="11808" max="12032" width="11.42578125" style="143"/>
    <col min="12033" max="12033" width="29.5703125" style="143" customWidth="1"/>
    <col min="12034" max="12034" width="9.7109375" style="143" customWidth="1"/>
    <col min="12035" max="12035" width="6.85546875" style="143" customWidth="1"/>
    <col min="12036" max="12036" width="8.42578125" style="143" customWidth="1"/>
    <col min="12037" max="12037" width="7.28515625" style="143" customWidth="1"/>
    <col min="12038" max="12038" width="8.85546875" style="143" bestFit="1" customWidth="1"/>
    <col min="12039" max="12039" width="7.42578125" style="143" bestFit="1" customWidth="1"/>
    <col min="12040" max="12040" width="6.28515625" style="143" customWidth="1"/>
    <col min="12041" max="12041" width="8.5703125" style="143" customWidth="1"/>
    <col min="12042" max="12042" width="8" style="143" customWidth="1"/>
    <col min="12043" max="12043" width="8.5703125" style="143" customWidth="1"/>
    <col min="12044" max="12044" width="8.85546875" style="143" customWidth="1"/>
    <col min="12045" max="12045" width="8" style="143" customWidth="1"/>
    <col min="12046" max="12046" width="6.28515625" style="143" customWidth="1"/>
    <col min="12047" max="12047" width="8.28515625" style="143" customWidth="1"/>
    <col min="12048" max="12048" width="6.85546875" style="143" customWidth="1"/>
    <col min="12049" max="12049" width="6.42578125" style="143" customWidth="1"/>
    <col min="12050" max="12050" width="8.5703125" style="143" customWidth="1"/>
    <col min="12051" max="12051" width="9" style="143" customWidth="1"/>
    <col min="12052" max="12052" width="12.7109375" style="143" customWidth="1"/>
    <col min="12053" max="12053" width="7.42578125" style="143" bestFit="1" customWidth="1"/>
    <col min="12054" max="12055" width="12.7109375" style="143" customWidth="1"/>
    <col min="12056" max="12056" width="6.140625" style="143" bestFit="1" customWidth="1"/>
    <col min="12057" max="12058" width="12.7109375" style="143" customWidth="1"/>
    <col min="12059" max="12059" width="6.140625" style="143" bestFit="1" customWidth="1"/>
    <col min="12060" max="12063" width="12.7109375" style="143" customWidth="1"/>
    <col min="12064" max="12288" width="11.42578125" style="143"/>
    <col min="12289" max="12289" width="29.5703125" style="143" customWidth="1"/>
    <col min="12290" max="12290" width="9.7109375" style="143" customWidth="1"/>
    <col min="12291" max="12291" width="6.85546875" style="143" customWidth="1"/>
    <col min="12292" max="12292" width="8.42578125" style="143" customWidth="1"/>
    <col min="12293" max="12293" width="7.28515625" style="143" customWidth="1"/>
    <col min="12294" max="12294" width="8.85546875" style="143" bestFit="1" customWidth="1"/>
    <col min="12295" max="12295" width="7.42578125" style="143" bestFit="1" customWidth="1"/>
    <col min="12296" max="12296" width="6.28515625" style="143" customWidth="1"/>
    <col min="12297" max="12297" width="8.5703125" style="143" customWidth="1"/>
    <col min="12298" max="12298" width="8" style="143" customWidth="1"/>
    <col min="12299" max="12299" width="8.5703125" style="143" customWidth="1"/>
    <col min="12300" max="12300" width="8.85546875" style="143" customWidth="1"/>
    <col min="12301" max="12301" width="8" style="143" customWidth="1"/>
    <col min="12302" max="12302" width="6.28515625" style="143" customWidth="1"/>
    <col min="12303" max="12303" width="8.28515625" style="143" customWidth="1"/>
    <col min="12304" max="12304" width="6.85546875" style="143" customWidth="1"/>
    <col min="12305" max="12305" width="6.42578125" style="143" customWidth="1"/>
    <col min="12306" max="12306" width="8.5703125" style="143" customWidth="1"/>
    <col min="12307" max="12307" width="9" style="143" customWidth="1"/>
    <col min="12308" max="12308" width="12.7109375" style="143" customWidth="1"/>
    <col min="12309" max="12309" width="7.42578125" style="143" bestFit="1" customWidth="1"/>
    <col min="12310" max="12311" width="12.7109375" style="143" customWidth="1"/>
    <col min="12312" max="12312" width="6.140625" style="143" bestFit="1" customWidth="1"/>
    <col min="12313" max="12314" width="12.7109375" style="143" customWidth="1"/>
    <col min="12315" max="12315" width="6.140625" style="143" bestFit="1" customWidth="1"/>
    <col min="12316" max="12319" width="12.7109375" style="143" customWidth="1"/>
    <col min="12320" max="12544" width="11.42578125" style="143"/>
    <col min="12545" max="12545" width="29.5703125" style="143" customWidth="1"/>
    <col min="12546" max="12546" width="9.7109375" style="143" customWidth="1"/>
    <col min="12547" max="12547" width="6.85546875" style="143" customWidth="1"/>
    <col min="12548" max="12548" width="8.42578125" style="143" customWidth="1"/>
    <col min="12549" max="12549" width="7.28515625" style="143" customWidth="1"/>
    <col min="12550" max="12550" width="8.85546875" style="143" bestFit="1" customWidth="1"/>
    <col min="12551" max="12551" width="7.42578125" style="143" bestFit="1" customWidth="1"/>
    <col min="12552" max="12552" width="6.28515625" style="143" customWidth="1"/>
    <col min="12553" max="12553" width="8.5703125" style="143" customWidth="1"/>
    <col min="12554" max="12554" width="8" style="143" customWidth="1"/>
    <col min="12555" max="12555" width="8.5703125" style="143" customWidth="1"/>
    <col min="12556" max="12556" width="8.85546875" style="143" customWidth="1"/>
    <col min="12557" max="12557" width="8" style="143" customWidth="1"/>
    <col min="12558" max="12558" width="6.28515625" style="143" customWidth="1"/>
    <col min="12559" max="12559" width="8.28515625" style="143" customWidth="1"/>
    <col min="12560" max="12560" width="6.85546875" style="143" customWidth="1"/>
    <col min="12561" max="12561" width="6.42578125" style="143" customWidth="1"/>
    <col min="12562" max="12562" width="8.5703125" style="143" customWidth="1"/>
    <col min="12563" max="12563" width="9" style="143" customWidth="1"/>
    <col min="12564" max="12564" width="12.7109375" style="143" customWidth="1"/>
    <col min="12565" max="12565" width="7.42578125" style="143" bestFit="1" customWidth="1"/>
    <col min="12566" max="12567" width="12.7109375" style="143" customWidth="1"/>
    <col min="12568" max="12568" width="6.140625" style="143" bestFit="1" customWidth="1"/>
    <col min="12569" max="12570" width="12.7109375" style="143" customWidth="1"/>
    <col min="12571" max="12571" width="6.140625" style="143" bestFit="1" customWidth="1"/>
    <col min="12572" max="12575" width="12.7109375" style="143" customWidth="1"/>
    <col min="12576" max="12800" width="11.42578125" style="143"/>
    <col min="12801" max="12801" width="29.5703125" style="143" customWidth="1"/>
    <col min="12802" max="12802" width="9.7109375" style="143" customWidth="1"/>
    <col min="12803" max="12803" width="6.85546875" style="143" customWidth="1"/>
    <col min="12804" max="12804" width="8.42578125" style="143" customWidth="1"/>
    <col min="12805" max="12805" width="7.28515625" style="143" customWidth="1"/>
    <col min="12806" max="12806" width="8.85546875" style="143" bestFit="1" customWidth="1"/>
    <col min="12807" max="12807" width="7.42578125" style="143" bestFit="1" customWidth="1"/>
    <col min="12808" max="12808" width="6.28515625" style="143" customWidth="1"/>
    <col min="12809" max="12809" width="8.5703125" style="143" customWidth="1"/>
    <col min="12810" max="12810" width="8" style="143" customWidth="1"/>
    <col min="12811" max="12811" width="8.5703125" style="143" customWidth="1"/>
    <col min="12812" max="12812" width="8.85546875" style="143" customWidth="1"/>
    <col min="12813" max="12813" width="8" style="143" customWidth="1"/>
    <col min="12814" max="12814" width="6.28515625" style="143" customWidth="1"/>
    <col min="12815" max="12815" width="8.28515625" style="143" customWidth="1"/>
    <col min="12816" max="12816" width="6.85546875" style="143" customWidth="1"/>
    <col min="12817" max="12817" width="6.42578125" style="143" customWidth="1"/>
    <col min="12818" max="12818" width="8.5703125" style="143" customWidth="1"/>
    <col min="12819" max="12819" width="9" style="143" customWidth="1"/>
    <col min="12820" max="12820" width="12.7109375" style="143" customWidth="1"/>
    <col min="12821" max="12821" width="7.42578125" style="143" bestFit="1" customWidth="1"/>
    <col min="12822" max="12823" width="12.7109375" style="143" customWidth="1"/>
    <col min="12824" max="12824" width="6.140625" style="143" bestFit="1" customWidth="1"/>
    <col min="12825" max="12826" width="12.7109375" style="143" customWidth="1"/>
    <col min="12827" max="12827" width="6.140625" style="143" bestFit="1" customWidth="1"/>
    <col min="12828" max="12831" width="12.7109375" style="143" customWidth="1"/>
    <col min="12832" max="13056" width="11.42578125" style="143"/>
    <col min="13057" max="13057" width="29.5703125" style="143" customWidth="1"/>
    <col min="13058" max="13058" width="9.7109375" style="143" customWidth="1"/>
    <col min="13059" max="13059" width="6.85546875" style="143" customWidth="1"/>
    <col min="13060" max="13060" width="8.42578125" style="143" customWidth="1"/>
    <col min="13061" max="13061" width="7.28515625" style="143" customWidth="1"/>
    <col min="13062" max="13062" width="8.85546875" style="143" bestFit="1" customWidth="1"/>
    <col min="13063" max="13063" width="7.42578125" style="143" bestFit="1" customWidth="1"/>
    <col min="13064" max="13064" width="6.28515625" style="143" customWidth="1"/>
    <col min="13065" max="13065" width="8.5703125" style="143" customWidth="1"/>
    <col min="13066" max="13066" width="8" style="143" customWidth="1"/>
    <col min="13067" max="13067" width="8.5703125" style="143" customWidth="1"/>
    <col min="13068" max="13068" width="8.85546875" style="143" customWidth="1"/>
    <col min="13069" max="13069" width="8" style="143" customWidth="1"/>
    <col min="13070" max="13070" width="6.28515625" style="143" customWidth="1"/>
    <col min="13071" max="13071" width="8.28515625" style="143" customWidth="1"/>
    <col min="13072" max="13072" width="6.85546875" style="143" customWidth="1"/>
    <col min="13073" max="13073" width="6.42578125" style="143" customWidth="1"/>
    <col min="13074" max="13074" width="8.5703125" style="143" customWidth="1"/>
    <col min="13075" max="13075" width="9" style="143" customWidth="1"/>
    <col min="13076" max="13076" width="12.7109375" style="143" customWidth="1"/>
    <col min="13077" max="13077" width="7.42578125" style="143" bestFit="1" customWidth="1"/>
    <col min="13078" max="13079" width="12.7109375" style="143" customWidth="1"/>
    <col min="13080" max="13080" width="6.140625" style="143" bestFit="1" customWidth="1"/>
    <col min="13081" max="13082" width="12.7109375" style="143" customWidth="1"/>
    <col min="13083" max="13083" width="6.140625" style="143" bestFit="1" customWidth="1"/>
    <col min="13084" max="13087" width="12.7109375" style="143" customWidth="1"/>
    <col min="13088" max="13312" width="11.42578125" style="143"/>
    <col min="13313" max="13313" width="29.5703125" style="143" customWidth="1"/>
    <col min="13314" max="13314" width="9.7109375" style="143" customWidth="1"/>
    <col min="13315" max="13315" width="6.85546875" style="143" customWidth="1"/>
    <col min="13316" max="13316" width="8.42578125" style="143" customWidth="1"/>
    <col min="13317" max="13317" width="7.28515625" style="143" customWidth="1"/>
    <col min="13318" max="13318" width="8.85546875" style="143" bestFit="1" customWidth="1"/>
    <col min="13319" max="13319" width="7.42578125" style="143" bestFit="1" customWidth="1"/>
    <col min="13320" max="13320" width="6.28515625" style="143" customWidth="1"/>
    <col min="13321" max="13321" width="8.5703125" style="143" customWidth="1"/>
    <col min="13322" max="13322" width="8" style="143" customWidth="1"/>
    <col min="13323" max="13323" width="8.5703125" style="143" customWidth="1"/>
    <col min="13324" max="13324" width="8.85546875" style="143" customWidth="1"/>
    <col min="13325" max="13325" width="8" style="143" customWidth="1"/>
    <col min="13326" max="13326" width="6.28515625" style="143" customWidth="1"/>
    <col min="13327" max="13327" width="8.28515625" style="143" customWidth="1"/>
    <col min="13328" max="13328" width="6.85546875" style="143" customWidth="1"/>
    <col min="13329" max="13329" width="6.42578125" style="143" customWidth="1"/>
    <col min="13330" max="13330" width="8.5703125" style="143" customWidth="1"/>
    <col min="13331" max="13331" width="9" style="143" customWidth="1"/>
    <col min="13332" max="13332" width="12.7109375" style="143" customWidth="1"/>
    <col min="13333" max="13333" width="7.42578125" style="143" bestFit="1" customWidth="1"/>
    <col min="13334" max="13335" width="12.7109375" style="143" customWidth="1"/>
    <col min="13336" max="13336" width="6.140625" style="143" bestFit="1" customWidth="1"/>
    <col min="13337" max="13338" width="12.7109375" style="143" customWidth="1"/>
    <col min="13339" max="13339" width="6.140625" style="143" bestFit="1" customWidth="1"/>
    <col min="13340" max="13343" width="12.7109375" style="143" customWidth="1"/>
    <col min="13344" max="13568" width="11.42578125" style="143"/>
    <col min="13569" max="13569" width="29.5703125" style="143" customWidth="1"/>
    <col min="13570" max="13570" width="9.7109375" style="143" customWidth="1"/>
    <col min="13571" max="13571" width="6.85546875" style="143" customWidth="1"/>
    <col min="13572" max="13572" width="8.42578125" style="143" customWidth="1"/>
    <col min="13573" max="13573" width="7.28515625" style="143" customWidth="1"/>
    <col min="13574" max="13574" width="8.85546875" style="143" bestFit="1" customWidth="1"/>
    <col min="13575" max="13575" width="7.42578125" style="143" bestFit="1" customWidth="1"/>
    <col min="13576" max="13576" width="6.28515625" style="143" customWidth="1"/>
    <col min="13577" max="13577" width="8.5703125" style="143" customWidth="1"/>
    <col min="13578" max="13578" width="8" style="143" customWidth="1"/>
    <col min="13579" max="13579" width="8.5703125" style="143" customWidth="1"/>
    <col min="13580" max="13580" width="8.85546875" style="143" customWidth="1"/>
    <col min="13581" max="13581" width="8" style="143" customWidth="1"/>
    <col min="13582" max="13582" width="6.28515625" style="143" customWidth="1"/>
    <col min="13583" max="13583" width="8.28515625" style="143" customWidth="1"/>
    <col min="13584" max="13584" width="6.85546875" style="143" customWidth="1"/>
    <col min="13585" max="13585" width="6.42578125" style="143" customWidth="1"/>
    <col min="13586" max="13586" width="8.5703125" style="143" customWidth="1"/>
    <col min="13587" max="13587" width="9" style="143" customWidth="1"/>
    <col min="13588" max="13588" width="12.7109375" style="143" customWidth="1"/>
    <col min="13589" max="13589" width="7.42578125" style="143" bestFit="1" customWidth="1"/>
    <col min="13590" max="13591" width="12.7109375" style="143" customWidth="1"/>
    <col min="13592" max="13592" width="6.140625" style="143" bestFit="1" customWidth="1"/>
    <col min="13593" max="13594" width="12.7109375" style="143" customWidth="1"/>
    <col min="13595" max="13595" width="6.140625" style="143" bestFit="1" customWidth="1"/>
    <col min="13596" max="13599" width="12.7109375" style="143" customWidth="1"/>
    <col min="13600" max="13824" width="11.42578125" style="143"/>
    <col min="13825" max="13825" width="29.5703125" style="143" customWidth="1"/>
    <col min="13826" max="13826" width="9.7109375" style="143" customWidth="1"/>
    <col min="13827" max="13827" width="6.85546875" style="143" customWidth="1"/>
    <col min="13828" max="13828" width="8.42578125" style="143" customWidth="1"/>
    <col min="13829" max="13829" width="7.28515625" style="143" customWidth="1"/>
    <col min="13830" max="13830" width="8.85546875" style="143" bestFit="1" customWidth="1"/>
    <col min="13831" max="13831" width="7.42578125" style="143" bestFit="1" customWidth="1"/>
    <col min="13832" max="13832" width="6.28515625" style="143" customWidth="1"/>
    <col min="13833" max="13833" width="8.5703125" style="143" customWidth="1"/>
    <col min="13834" max="13834" width="8" style="143" customWidth="1"/>
    <col min="13835" max="13835" width="8.5703125" style="143" customWidth="1"/>
    <col min="13836" max="13836" width="8.85546875" style="143" customWidth="1"/>
    <col min="13837" max="13837" width="8" style="143" customWidth="1"/>
    <col min="13838" max="13838" width="6.28515625" style="143" customWidth="1"/>
    <col min="13839" max="13839" width="8.28515625" style="143" customWidth="1"/>
    <col min="13840" max="13840" width="6.85546875" style="143" customWidth="1"/>
    <col min="13841" max="13841" width="6.42578125" style="143" customWidth="1"/>
    <col min="13842" max="13842" width="8.5703125" style="143" customWidth="1"/>
    <col min="13843" max="13843" width="9" style="143" customWidth="1"/>
    <col min="13844" max="13844" width="12.7109375" style="143" customWidth="1"/>
    <col min="13845" max="13845" width="7.42578125" style="143" bestFit="1" customWidth="1"/>
    <col min="13846" max="13847" width="12.7109375" style="143" customWidth="1"/>
    <col min="13848" max="13848" width="6.140625" style="143" bestFit="1" customWidth="1"/>
    <col min="13849" max="13850" width="12.7109375" style="143" customWidth="1"/>
    <col min="13851" max="13851" width="6.140625" style="143" bestFit="1" customWidth="1"/>
    <col min="13852" max="13855" width="12.7109375" style="143" customWidth="1"/>
    <col min="13856" max="14080" width="11.42578125" style="143"/>
    <col min="14081" max="14081" width="29.5703125" style="143" customWidth="1"/>
    <col min="14082" max="14082" width="9.7109375" style="143" customWidth="1"/>
    <col min="14083" max="14083" width="6.85546875" style="143" customWidth="1"/>
    <col min="14084" max="14084" width="8.42578125" style="143" customWidth="1"/>
    <col min="14085" max="14085" width="7.28515625" style="143" customWidth="1"/>
    <col min="14086" max="14086" width="8.85546875" style="143" bestFit="1" customWidth="1"/>
    <col min="14087" max="14087" width="7.42578125" style="143" bestFit="1" customWidth="1"/>
    <col min="14088" max="14088" width="6.28515625" style="143" customWidth="1"/>
    <col min="14089" max="14089" width="8.5703125" style="143" customWidth="1"/>
    <col min="14090" max="14090" width="8" style="143" customWidth="1"/>
    <col min="14091" max="14091" width="8.5703125" style="143" customWidth="1"/>
    <col min="14092" max="14092" width="8.85546875" style="143" customWidth="1"/>
    <col min="14093" max="14093" width="8" style="143" customWidth="1"/>
    <col min="14094" max="14094" width="6.28515625" style="143" customWidth="1"/>
    <col min="14095" max="14095" width="8.28515625" style="143" customWidth="1"/>
    <col min="14096" max="14096" width="6.85546875" style="143" customWidth="1"/>
    <col min="14097" max="14097" width="6.42578125" style="143" customWidth="1"/>
    <col min="14098" max="14098" width="8.5703125" style="143" customWidth="1"/>
    <col min="14099" max="14099" width="9" style="143" customWidth="1"/>
    <col min="14100" max="14100" width="12.7109375" style="143" customWidth="1"/>
    <col min="14101" max="14101" width="7.42578125" style="143" bestFit="1" customWidth="1"/>
    <col min="14102" max="14103" width="12.7109375" style="143" customWidth="1"/>
    <col min="14104" max="14104" width="6.140625" style="143" bestFit="1" customWidth="1"/>
    <col min="14105" max="14106" width="12.7109375" style="143" customWidth="1"/>
    <col min="14107" max="14107" width="6.140625" style="143" bestFit="1" customWidth="1"/>
    <col min="14108" max="14111" width="12.7109375" style="143" customWidth="1"/>
    <col min="14112" max="14336" width="11.42578125" style="143"/>
    <col min="14337" max="14337" width="29.5703125" style="143" customWidth="1"/>
    <col min="14338" max="14338" width="9.7109375" style="143" customWidth="1"/>
    <col min="14339" max="14339" width="6.85546875" style="143" customWidth="1"/>
    <col min="14340" max="14340" width="8.42578125" style="143" customWidth="1"/>
    <col min="14341" max="14341" width="7.28515625" style="143" customWidth="1"/>
    <col min="14342" max="14342" width="8.85546875" style="143" bestFit="1" customWidth="1"/>
    <col min="14343" max="14343" width="7.42578125" style="143" bestFit="1" customWidth="1"/>
    <col min="14344" max="14344" width="6.28515625" style="143" customWidth="1"/>
    <col min="14345" max="14345" width="8.5703125" style="143" customWidth="1"/>
    <col min="14346" max="14346" width="8" style="143" customWidth="1"/>
    <col min="14347" max="14347" width="8.5703125" style="143" customWidth="1"/>
    <col min="14348" max="14348" width="8.85546875" style="143" customWidth="1"/>
    <col min="14349" max="14349" width="8" style="143" customWidth="1"/>
    <col min="14350" max="14350" width="6.28515625" style="143" customWidth="1"/>
    <col min="14351" max="14351" width="8.28515625" style="143" customWidth="1"/>
    <col min="14352" max="14352" width="6.85546875" style="143" customWidth="1"/>
    <col min="14353" max="14353" width="6.42578125" style="143" customWidth="1"/>
    <col min="14354" max="14354" width="8.5703125" style="143" customWidth="1"/>
    <col min="14355" max="14355" width="9" style="143" customWidth="1"/>
    <col min="14356" max="14356" width="12.7109375" style="143" customWidth="1"/>
    <col min="14357" max="14357" width="7.42578125" style="143" bestFit="1" customWidth="1"/>
    <col min="14358" max="14359" width="12.7109375" style="143" customWidth="1"/>
    <col min="14360" max="14360" width="6.140625" style="143" bestFit="1" customWidth="1"/>
    <col min="14361" max="14362" width="12.7109375" style="143" customWidth="1"/>
    <col min="14363" max="14363" width="6.140625" style="143" bestFit="1" customWidth="1"/>
    <col min="14364" max="14367" width="12.7109375" style="143" customWidth="1"/>
    <col min="14368" max="14592" width="11.42578125" style="143"/>
    <col min="14593" max="14593" width="29.5703125" style="143" customWidth="1"/>
    <col min="14594" max="14594" width="9.7109375" style="143" customWidth="1"/>
    <col min="14595" max="14595" width="6.85546875" style="143" customWidth="1"/>
    <col min="14596" max="14596" width="8.42578125" style="143" customWidth="1"/>
    <col min="14597" max="14597" width="7.28515625" style="143" customWidth="1"/>
    <col min="14598" max="14598" width="8.85546875" style="143" bestFit="1" customWidth="1"/>
    <col min="14599" max="14599" width="7.42578125" style="143" bestFit="1" customWidth="1"/>
    <col min="14600" max="14600" width="6.28515625" style="143" customWidth="1"/>
    <col min="14601" max="14601" width="8.5703125" style="143" customWidth="1"/>
    <col min="14602" max="14602" width="8" style="143" customWidth="1"/>
    <col min="14603" max="14603" width="8.5703125" style="143" customWidth="1"/>
    <col min="14604" max="14604" width="8.85546875" style="143" customWidth="1"/>
    <col min="14605" max="14605" width="8" style="143" customWidth="1"/>
    <col min="14606" max="14606" width="6.28515625" style="143" customWidth="1"/>
    <col min="14607" max="14607" width="8.28515625" style="143" customWidth="1"/>
    <col min="14608" max="14608" width="6.85546875" style="143" customWidth="1"/>
    <col min="14609" max="14609" width="6.42578125" style="143" customWidth="1"/>
    <col min="14610" max="14610" width="8.5703125" style="143" customWidth="1"/>
    <col min="14611" max="14611" width="9" style="143" customWidth="1"/>
    <col min="14612" max="14612" width="12.7109375" style="143" customWidth="1"/>
    <col min="14613" max="14613" width="7.42578125" style="143" bestFit="1" customWidth="1"/>
    <col min="14614" max="14615" width="12.7109375" style="143" customWidth="1"/>
    <col min="14616" max="14616" width="6.140625" style="143" bestFit="1" customWidth="1"/>
    <col min="14617" max="14618" width="12.7109375" style="143" customWidth="1"/>
    <col min="14619" max="14619" width="6.140625" style="143" bestFit="1" customWidth="1"/>
    <col min="14620" max="14623" width="12.7109375" style="143" customWidth="1"/>
    <col min="14624" max="14848" width="11.42578125" style="143"/>
    <col min="14849" max="14849" width="29.5703125" style="143" customWidth="1"/>
    <col min="14850" max="14850" width="9.7109375" style="143" customWidth="1"/>
    <col min="14851" max="14851" width="6.85546875" style="143" customWidth="1"/>
    <col min="14852" max="14852" width="8.42578125" style="143" customWidth="1"/>
    <col min="14853" max="14853" width="7.28515625" style="143" customWidth="1"/>
    <col min="14854" max="14854" width="8.85546875" style="143" bestFit="1" customWidth="1"/>
    <col min="14855" max="14855" width="7.42578125" style="143" bestFit="1" customWidth="1"/>
    <col min="14856" max="14856" width="6.28515625" style="143" customWidth="1"/>
    <col min="14857" max="14857" width="8.5703125" style="143" customWidth="1"/>
    <col min="14858" max="14858" width="8" style="143" customWidth="1"/>
    <col min="14859" max="14859" width="8.5703125" style="143" customWidth="1"/>
    <col min="14860" max="14860" width="8.85546875" style="143" customWidth="1"/>
    <col min="14861" max="14861" width="8" style="143" customWidth="1"/>
    <col min="14862" max="14862" width="6.28515625" style="143" customWidth="1"/>
    <col min="14863" max="14863" width="8.28515625" style="143" customWidth="1"/>
    <col min="14864" max="14864" width="6.85546875" style="143" customWidth="1"/>
    <col min="14865" max="14865" width="6.42578125" style="143" customWidth="1"/>
    <col min="14866" max="14866" width="8.5703125" style="143" customWidth="1"/>
    <col min="14867" max="14867" width="9" style="143" customWidth="1"/>
    <col min="14868" max="14868" width="12.7109375" style="143" customWidth="1"/>
    <col min="14869" max="14869" width="7.42578125" style="143" bestFit="1" customWidth="1"/>
    <col min="14870" max="14871" width="12.7109375" style="143" customWidth="1"/>
    <col min="14872" max="14872" width="6.140625" style="143" bestFit="1" customWidth="1"/>
    <col min="14873" max="14874" width="12.7109375" style="143" customWidth="1"/>
    <col min="14875" max="14875" width="6.140625" style="143" bestFit="1" customWidth="1"/>
    <col min="14876" max="14879" width="12.7109375" style="143" customWidth="1"/>
    <col min="14880" max="15104" width="11.42578125" style="143"/>
    <col min="15105" max="15105" width="29.5703125" style="143" customWidth="1"/>
    <col min="15106" max="15106" width="9.7109375" style="143" customWidth="1"/>
    <col min="15107" max="15107" width="6.85546875" style="143" customWidth="1"/>
    <col min="15108" max="15108" width="8.42578125" style="143" customWidth="1"/>
    <col min="15109" max="15109" width="7.28515625" style="143" customWidth="1"/>
    <col min="15110" max="15110" width="8.85546875" style="143" bestFit="1" customWidth="1"/>
    <col min="15111" max="15111" width="7.42578125" style="143" bestFit="1" customWidth="1"/>
    <col min="15112" max="15112" width="6.28515625" style="143" customWidth="1"/>
    <col min="15113" max="15113" width="8.5703125" style="143" customWidth="1"/>
    <col min="15114" max="15114" width="8" style="143" customWidth="1"/>
    <col min="15115" max="15115" width="8.5703125" style="143" customWidth="1"/>
    <col min="15116" max="15116" width="8.85546875" style="143" customWidth="1"/>
    <col min="15117" max="15117" width="8" style="143" customWidth="1"/>
    <col min="15118" max="15118" width="6.28515625" style="143" customWidth="1"/>
    <col min="15119" max="15119" width="8.28515625" style="143" customWidth="1"/>
    <col min="15120" max="15120" width="6.85546875" style="143" customWidth="1"/>
    <col min="15121" max="15121" width="6.42578125" style="143" customWidth="1"/>
    <col min="15122" max="15122" width="8.5703125" style="143" customWidth="1"/>
    <col min="15123" max="15123" width="9" style="143" customWidth="1"/>
    <col min="15124" max="15124" width="12.7109375" style="143" customWidth="1"/>
    <col min="15125" max="15125" width="7.42578125" style="143" bestFit="1" customWidth="1"/>
    <col min="15126" max="15127" width="12.7109375" style="143" customWidth="1"/>
    <col min="15128" max="15128" width="6.140625" style="143" bestFit="1" customWidth="1"/>
    <col min="15129" max="15130" width="12.7109375" style="143" customWidth="1"/>
    <col min="15131" max="15131" width="6.140625" style="143" bestFit="1" customWidth="1"/>
    <col min="15132" max="15135" width="12.7109375" style="143" customWidth="1"/>
    <col min="15136" max="15360" width="11.42578125" style="143"/>
    <col min="15361" max="15361" width="29.5703125" style="143" customWidth="1"/>
    <col min="15362" max="15362" width="9.7109375" style="143" customWidth="1"/>
    <col min="15363" max="15363" width="6.85546875" style="143" customWidth="1"/>
    <col min="15364" max="15364" width="8.42578125" style="143" customWidth="1"/>
    <col min="15365" max="15365" width="7.28515625" style="143" customWidth="1"/>
    <col min="15366" max="15366" width="8.85546875" style="143" bestFit="1" customWidth="1"/>
    <col min="15367" max="15367" width="7.42578125" style="143" bestFit="1" customWidth="1"/>
    <col min="15368" max="15368" width="6.28515625" style="143" customWidth="1"/>
    <col min="15369" max="15369" width="8.5703125" style="143" customWidth="1"/>
    <col min="15370" max="15370" width="8" style="143" customWidth="1"/>
    <col min="15371" max="15371" width="8.5703125" style="143" customWidth="1"/>
    <col min="15372" max="15372" width="8.85546875" style="143" customWidth="1"/>
    <col min="15373" max="15373" width="8" style="143" customWidth="1"/>
    <col min="15374" max="15374" width="6.28515625" style="143" customWidth="1"/>
    <col min="15375" max="15375" width="8.28515625" style="143" customWidth="1"/>
    <col min="15376" max="15376" width="6.85546875" style="143" customWidth="1"/>
    <col min="15377" max="15377" width="6.42578125" style="143" customWidth="1"/>
    <col min="15378" max="15378" width="8.5703125" style="143" customWidth="1"/>
    <col min="15379" max="15379" width="9" style="143" customWidth="1"/>
    <col min="15380" max="15380" width="12.7109375" style="143" customWidth="1"/>
    <col min="15381" max="15381" width="7.42578125" style="143" bestFit="1" customWidth="1"/>
    <col min="15382" max="15383" width="12.7109375" style="143" customWidth="1"/>
    <col min="15384" max="15384" width="6.140625" style="143" bestFit="1" customWidth="1"/>
    <col min="15385" max="15386" width="12.7109375" style="143" customWidth="1"/>
    <col min="15387" max="15387" width="6.140625" style="143" bestFit="1" customWidth="1"/>
    <col min="15388" max="15391" width="12.7109375" style="143" customWidth="1"/>
    <col min="15392" max="15616" width="11.42578125" style="143"/>
    <col min="15617" max="15617" width="29.5703125" style="143" customWidth="1"/>
    <col min="15618" max="15618" width="9.7109375" style="143" customWidth="1"/>
    <col min="15619" max="15619" width="6.85546875" style="143" customWidth="1"/>
    <col min="15620" max="15620" width="8.42578125" style="143" customWidth="1"/>
    <col min="15621" max="15621" width="7.28515625" style="143" customWidth="1"/>
    <col min="15622" max="15622" width="8.85546875" style="143" bestFit="1" customWidth="1"/>
    <col min="15623" max="15623" width="7.42578125" style="143" bestFit="1" customWidth="1"/>
    <col min="15624" max="15624" width="6.28515625" style="143" customWidth="1"/>
    <col min="15625" max="15625" width="8.5703125" style="143" customWidth="1"/>
    <col min="15626" max="15626" width="8" style="143" customWidth="1"/>
    <col min="15627" max="15627" width="8.5703125" style="143" customWidth="1"/>
    <col min="15628" max="15628" width="8.85546875" style="143" customWidth="1"/>
    <col min="15629" max="15629" width="8" style="143" customWidth="1"/>
    <col min="15630" max="15630" width="6.28515625" style="143" customWidth="1"/>
    <col min="15631" max="15631" width="8.28515625" style="143" customWidth="1"/>
    <col min="15632" max="15632" width="6.85546875" style="143" customWidth="1"/>
    <col min="15633" max="15633" width="6.42578125" style="143" customWidth="1"/>
    <col min="15634" max="15634" width="8.5703125" style="143" customWidth="1"/>
    <col min="15635" max="15635" width="9" style="143" customWidth="1"/>
    <col min="15636" max="15636" width="12.7109375" style="143" customWidth="1"/>
    <col min="15637" max="15637" width="7.42578125" style="143" bestFit="1" customWidth="1"/>
    <col min="15638" max="15639" width="12.7109375" style="143" customWidth="1"/>
    <col min="15640" max="15640" width="6.140625" style="143" bestFit="1" customWidth="1"/>
    <col min="15641" max="15642" width="12.7109375" style="143" customWidth="1"/>
    <col min="15643" max="15643" width="6.140625" style="143" bestFit="1" customWidth="1"/>
    <col min="15644" max="15647" width="12.7109375" style="143" customWidth="1"/>
    <col min="15648" max="15872" width="11.42578125" style="143"/>
    <col min="15873" max="15873" width="29.5703125" style="143" customWidth="1"/>
    <col min="15874" max="15874" width="9.7109375" style="143" customWidth="1"/>
    <col min="15875" max="15875" width="6.85546875" style="143" customWidth="1"/>
    <col min="15876" max="15876" width="8.42578125" style="143" customWidth="1"/>
    <col min="15877" max="15877" width="7.28515625" style="143" customWidth="1"/>
    <col min="15878" max="15878" width="8.85546875" style="143" bestFit="1" customWidth="1"/>
    <col min="15879" max="15879" width="7.42578125" style="143" bestFit="1" customWidth="1"/>
    <col min="15880" max="15880" width="6.28515625" style="143" customWidth="1"/>
    <col min="15881" max="15881" width="8.5703125" style="143" customWidth="1"/>
    <col min="15882" max="15882" width="8" style="143" customWidth="1"/>
    <col min="15883" max="15883" width="8.5703125" style="143" customWidth="1"/>
    <col min="15884" max="15884" width="8.85546875" style="143" customWidth="1"/>
    <col min="15885" max="15885" width="8" style="143" customWidth="1"/>
    <col min="15886" max="15886" width="6.28515625" style="143" customWidth="1"/>
    <col min="15887" max="15887" width="8.28515625" style="143" customWidth="1"/>
    <col min="15888" max="15888" width="6.85546875" style="143" customWidth="1"/>
    <col min="15889" max="15889" width="6.42578125" style="143" customWidth="1"/>
    <col min="15890" max="15890" width="8.5703125" style="143" customWidth="1"/>
    <col min="15891" max="15891" width="9" style="143" customWidth="1"/>
    <col min="15892" max="15892" width="12.7109375" style="143" customWidth="1"/>
    <col min="15893" max="15893" width="7.42578125" style="143" bestFit="1" customWidth="1"/>
    <col min="15894" max="15895" width="12.7109375" style="143" customWidth="1"/>
    <col min="15896" max="15896" width="6.140625" style="143" bestFit="1" customWidth="1"/>
    <col min="15897" max="15898" width="12.7109375" style="143" customWidth="1"/>
    <col min="15899" max="15899" width="6.140625" style="143" bestFit="1" customWidth="1"/>
    <col min="15900" max="15903" width="12.7109375" style="143" customWidth="1"/>
    <col min="15904" max="16128" width="11.42578125" style="143"/>
    <col min="16129" max="16129" width="29.5703125" style="143" customWidth="1"/>
    <col min="16130" max="16130" width="9.7109375" style="143" customWidth="1"/>
    <col min="16131" max="16131" width="6.85546875" style="143" customWidth="1"/>
    <col min="16132" max="16132" width="8.42578125" style="143" customWidth="1"/>
    <col min="16133" max="16133" width="7.28515625" style="143" customWidth="1"/>
    <col min="16134" max="16134" width="8.85546875" style="143" bestFit="1" customWidth="1"/>
    <col min="16135" max="16135" width="7.42578125" style="143" bestFit="1" customWidth="1"/>
    <col min="16136" max="16136" width="6.28515625" style="143" customWidth="1"/>
    <col min="16137" max="16137" width="8.5703125" style="143" customWidth="1"/>
    <col min="16138" max="16138" width="8" style="143" customWidth="1"/>
    <col min="16139" max="16139" width="8.5703125" style="143" customWidth="1"/>
    <col min="16140" max="16140" width="8.85546875" style="143" customWidth="1"/>
    <col min="16141" max="16141" width="8" style="143" customWidth="1"/>
    <col min="16142" max="16142" width="6.28515625" style="143" customWidth="1"/>
    <col min="16143" max="16143" width="8.28515625" style="143" customWidth="1"/>
    <col min="16144" max="16144" width="6.85546875" style="143" customWidth="1"/>
    <col min="16145" max="16145" width="6.42578125" style="143" customWidth="1"/>
    <col min="16146" max="16146" width="8.5703125" style="143" customWidth="1"/>
    <col min="16147" max="16147" width="9" style="143" customWidth="1"/>
    <col min="16148" max="16148" width="12.7109375" style="143" customWidth="1"/>
    <col min="16149" max="16149" width="7.42578125" style="143" bestFit="1" customWidth="1"/>
    <col min="16150" max="16151" width="12.7109375" style="143" customWidth="1"/>
    <col min="16152" max="16152" width="6.140625" style="143" bestFit="1" customWidth="1"/>
    <col min="16153" max="16154" width="12.7109375" style="143" customWidth="1"/>
    <col min="16155" max="16155" width="6.140625" style="143" bestFit="1" customWidth="1"/>
    <col min="16156" max="16159" width="12.7109375" style="143" customWidth="1"/>
    <col min="16160" max="16384" width="11.42578125" style="143"/>
  </cols>
  <sheetData>
    <row r="1" spans="1:32" x14ac:dyDescent="0.2">
      <c r="AD1" s="261"/>
      <c r="AF1" s="262"/>
    </row>
    <row r="2" spans="1:32" s="264" customFormat="1" ht="15" x14ac:dyDescent="0.2">
      <c r="A2" s="90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</row>
    <row r="3" spans="1:32" s="264" customFormat="1" ht="15.75" x14ac:dyDescent="0.25">
      <c r="A3" s="263"/>
      <c r="B3" s="263"/>
      <c r="C3" s="263"/>
      <c r="D3" s="263"/>
      <c r="E3" s="263"/>
      <c r="F3" s="263"/>
      <c r="G3" s="265"/>
      <c r="H3" s="265"/>
      <c r="I3" s="265"/>
      <c r="J3" s="263"/>
      <c r="K3" s="263"/>
      <c r="L3" s="263"/>
      <c r="M3" s="263"/>
      <c r="N3" s="263"/>
      <c r="O3" s="263"/>
    </row>
    <row r="4" spans="1:32" s="264" customFormat="1" ht="15.75" thickBot="1" x14ac:dyDescent="0.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</row>
    <row r="5" spans="1:32" s="264" customFormat="1" ht="17.25" thickBot="1" x14ac:dyDescent="0.3">
      <c r="A5" s="266" t="s">
        <v>226</v>
      </c>
      <c r="B5" s="257"/>
      <c r="C5" s="257"/>
      <c r="D5" s="257"/>
      <c r="E5" s="257"/>
      <c r="F5" s="257"/>
      <c r="G5" s="267"/>
      <c r="H5" s="267"/>
      <c r="I5" s="263"/>
      <c r="J5" s="263"/>
      <c r="K5" s="263"/>
      <c r="L5" s="263"/>
      <c r="M5" s="263"/>
      <c r="N5" s="263"/>
      <c r="O5" s="263"/>
    </row>
    <row r="6" spans="1:32" s="264" customFormat="1" ht="15.75" thickBot="1" x14ac:dyDescent="0.25">
      <c r="A6" s="268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</row>
    <row r="7" spans="1:32" s="264" customFormat="1" ht="16.5" customHeight="1" thickBot="1" x14ac:dyDescent="0.3">
      <c r="A7" s="263"/>
      <c r="B7" s="1825" t="s">
        <v>0</v>
      </c>
      <c r="C7" s="1826"/>
      <c r="D7" s="1827"/>
      <c r="E7" s="1825" t="s">
        <v>1</v>
      </c>
      <c r="F7" s="1826"/>
      <c r="G7" s="1827"/>
      <c r="H7" s="1825" t="s">
        <v>2</v>
      </c>
      <c r="I7" s="1826"/>
      <c r="J7" s="1827"/>
      <c r="K7" s="1825" t="s">
        <v>3</v>
      </c>
      <c r="L7" s="1826"/>
      <c r="M7" s="1827"/>
      <c r="N7" s="1825" t="s">
        <v>4</v>
      </c>
      <c r="O7" s="1826"/>
      <c r="P7" s="1827"/>
      <c r="Q7" s="1825" t="s">
        <v>5</v>
      </c>
      <c r="R7" s="1826"/>
      <c r="S7" s="1827"/>
    </row>
    <row r="8" spans="1:32" s="270" customFormat="1" ht="16.5" thickBot="1" x14ac:dyDescent="0.3">
      <c r="A8" s="269"/>
      <c r="B8" s="381" t="s">
        <v>227</v>
      </c>
      <c r="C8" s="382" t="s">
        <v>228</v>
      </c>
      <c r="D8" s="383" t="s">
        <v>215</v>
      </c>
      <c r="E8" s="381" t="s">
        <v>227</v>
      </c>
      <c r="F8" s="382" t="s">
        <v>228</v>
      </c>
      <c r="G8" s="383" t="s">
        <v>215</v>
      </c>
      <c r="H8" s="381" t="s">
        <v>227</v>
      </c>
      <c r="I8" s="382" t="s">
        <v>228</v>
      </c>
      <c r="J8" s="383" t="s">
        <v>215</v>
      </c>
      <c r="K8" s="381" t="s">
        <v>227</v>
      </c>
      <c r="L8" s="382" t="s">
        <v>228</v>
      </c>
      <c r="M8" s="383" t="s">
        <v>215</v>
      </c>
      <c r="N8" s="381" t="s">
        <v>227</v>
      </c>
      <c r="O8" s="382" t="s">
        <v>228</v>
      </c>
      <c r="P8" s="383" t="s">
        <v>215</v>
      </c>
      <c r="Q8" s="381" t="s">
        <v>227</v>
      </c>
      <c r="R8" s="382" t="s">
        <v>228</v>
      </c>
      <c r="S8" s="383" t="s">
        <v>215</v>
      </c>
    </row>
    <row r="9" spans="1:32" s="264" customFormat="1" ht="15" x14ac:dyDescent="0.2">
      <c r="A9" s="271" t="s">
        <v>229</v>
      </c>
      <c r="B9" s="384"/>
      <c r="C9" s="385">
        <f>DATOS!$D23</f>
        <v>2</v>
      </c>
      <c r="D9" s="386" t="e">
        <f>$C9/$B9</f>
        <v>#DIV/0!</v>
      </c>
      <c r="E9" s="384"/>
      <c r="F9" s="385">
        <f>DATOS!$F23</f>
        <v>2</v>
      </c>
      <c r="G9" s="386" t="e">
        <f>($F9/$E9)</f>
        <v>#DIV/0!</v>
      </c>
      <c r="H9" s="384"/>
      <c r="I9" s="385">
        <f>DATOS!$H23</f>
        <v>2</v>
      </c>
      <c r="J9" s="386" t="e">
        <f>($I9/$H9)</f>
        <v>#DIV/0!</v>
      </c>
      <c r="K9" s="384"/>
      <c r="L9" s="385">
        <f>DATOS!$J23</f>
        <v>2</v>
      </c>
      <c r="M9" s="386" t="e">
        <f>($L9/$K9)</f>
        <v>#DIV/0!</v>
      </c>
      <c r="N9" s="384"/>
      <c r="O9" s="385">
        <f>DATOS!$L23</f>
        <v>2</v>
      </c>
      <c r="P9" s="386" t="e">
        <f>($O9/$N9)</f>
        <v>#DIV/0!</v>
      </c>
      <c r="Q9" s="384"/>
      <c r="R9" s="385">
        <f>DATOS!$N23</f>
        <v>2</v>
      </c>
      <c r="S9" s="386" t="e">
        <f>($R9/$Q9)</f>
        <v>#DIV/0!</v>
      </c>
    </row>
    <row r="10" spans="1:32" s="264" customFormat="1" ht="15" x14ac:dyDescent="0.2">
      <c r="A10" s="272" t="s">
        <v>230</v>
      </c>
      <c r="B10" s="387"/>
      <c r="C10" s="385">
        <f>DATOS!$D24</f>
        <v>3</v>
      </c>
      <c r="D10" s="386" t="e">
        <f t="shared" ref="D10:D16" si="0">$C10/$B10</f>
        <v>#DIV/0!</v>
      </c>
      <c r="E10" s="387"/>
      <c r="F10" s="385">
        <f>DATOS!$F24</f>
        <v>3</v>
      </c>
      <c r="G10" s="386" t="e">
        <f t="shared" ref="G10:G16" si="1">($F10/$E10)</f>
        <v>#DIV/0!</v>
      </c>
      <c r="H10" s="387"/>
      <c r="I10" s="385">
        <f>DATOS!$H24</f>
        <v>3</v>
      </c>
      <c r="J10" s="386" t="e">
        <f t="shared" ref="J10:J16" si="2">($I10/$H10)</f>
        <v>#DIV/0!</v>
      </c>
      <c r="K10" s="387"/>
      <c r="L10" s="385">
        <f>DATOS!$J24</f>
        <v>3</v>
      </c>
      <c r="M10" s="386" t="e">
        <f t="shared" ref="M10:M16" si="3">($L10/$K10)</f>
        <v>#DIV/0!</v>
      </c>
      <c r="N10" s="387"/>
      <c r="O10" s="385">
        <f>DATOS!$L24</f>
        <v>3</v>
      </c>
      <c r="P10" s="386" t="e">
        <f t="shared" ref="P10:P16" si="4">($O10/$N10)</f>
        <v>#DIV/0!</v>
      </c>
      <c r="Q10" s="387"/>
      <c r="R10" s="385">
        <f>DATOS!$N24</f>
        <v>3</v>
      </c>
      <c r="S10" s="386" t="e">
        <f t="shared" ref="S10:S16" si="5">($R10/$Q10)</f>
        <v>#DIV/0!</v>
      </c>
    </row>
    <row r="11" spans="1:32" s="264" customFormat="1" ht="15.75" thickBot="1" x14ac:dyDescent="0.25">
      <c r="A11" s="273" t="s">
        <v>231</v>
      </c>
      <c r="B11" s="388"/>
      <c r="C11" s="385">
        <f>DATOS!$D25</f>
        <v>2.5</v>
      </c>
      <c r="D11" s="386" t="e">
        <f t="shared" si="0"/>
        <v>#DIV/0!</v>
      </c>
      <c r="E11" s="388"/>
      <c r="F11" s="385">
        <f>DATOS!$F25</f>
        <v>2.5</v>
      </c>
      <c r="G11" s="386" t="e">
        <f t="shared" si="1"/>
        <v>#DIV/0!</v>
      </c>
      <c r="H11" s="388"/>
      <c r="I11" s="385">
        <f>DATOS!$H25</f>
        <v>2.5</v>
      </c>
      <c r="J11" s="386" t="e">
        <f t="shared" si="2"/>
        <v>#DIV/0!</v>
      </c>
      <c r="K11" s="388"/>
      <c r="L11" s="385">
        <f>DATOS!$J25</f>
        <v>2.5</v>
      </c>
      <c r="M11" s="386" t="e">
        <f t="shared" si="3"/>
        <v>#DIV/0!</v>
      </c>
      <c r="N11" s="388"/>
      <c r="O11" s="385">
        <f>DATOS!$L25</f>
        <v>2.5</v>
      </c>
      <c r="P11" s="386" t="e">
        <f t="shared" si="4"/>
        <v>#DIV/0!</v>
      </c>
      <c r="Q11" s="388"/>
      <c r="R11" s="385">
        <f>DATOS!$N25</f>
        <v>2.5</v>
      </c>
      <c r="S11" s="386" t="e">
        <f t="shared" si="5"/>
        <v>#DIV/0!</v>
      </c>
    </row>
    <row r="12" spans="1:32" s="275" customFormat="1" ht="16.5" thickBot="1" x14ac:dyDescent="0.3">
      <c r="A12" s="274" t="s">
        <v>232</v>
      </c>
      <c r="B12" s="389">
        <f>SUM(B9:B11)</f>
        <v>0</v>
      </c>
      <c r="C12" s="390">
        <f>SUM(C9:C11)</f>
        <v>7.5</v>
      </c>
      <c r="D12" s="386" t="e">
        <f t="shared" si="0"/>
        <v>#DIV/0!</v>
      </c>
      <c r="E12" s="389">
        <f>SUM(E9:E11)</f>
        <v>0</v>
      </c>
      <c r="F12" s="390">
        <f>SUM(F9:F11)</f>
        <v>7.5</v>
      </c>
      <c r="G12" s="386" t="e">
        <f t="shared" si="1"/>
        <v>#DIV/0!</v>
      </c>
      <c r="H12" s="389">
        <f>SUM(H9:H11)</f>
        <v>0</v>
      </c>
      <c r="I12" s="390">
        <f>SUM(I9:I11)</f>
        <v>7.5</v>
      </c>
      <c r="J12" s="386" t="e">
        <f t="shared" si="2"/>
        <v>#DIV/0!</v>
      </c>
      <c r="K12" s="389">
        <f>SUM(K9:K11)</f>
        <v>0</v>
      </c>
      <c r="L12" s="390">
        <f>SUM(L9:L11)</f>
        <v>7.5</v>
      </c>
      <c r="M12" s="386" t="e">
        <f t="shared" si="3"/>
        <v>#DIV/0!</v>
      </c>
      <c r="N12" s="389">
        <f>SUM(N9:N11)</f>
        <v>0</v>
      </c>
      <c r="O12" s="390">
        <f>SUM(O9:O11)</f>
        <v>7.5</v>
      </c>
      <c r="P12" s="386" t="e">
        <f t="shared" si="4"/>
        <v>#DIV/0!</v>
      </c>
      <c r="Q12" s="389">
        <f>SUM(Q9:Q11)</f>
        <v>0</v>
      </c>
      <c r="R12" s="390">
        <f>SUM(R9:R11)</f>
        <v>7.5</v>
      </c>
      <c r="S12" s="386" t="e">
        <f t="shared" si="5"/>
        <v>#DIV/0!</v>
      </c>
    </row>
    <row r="13" spans="1:32" s="264" customFormat="1" ht="15" x14ac:dyDescent="0.2">
      <c r="A13" s="276" t="s">
        <v>142</v>
      </c>
      <c r="B13" s="384"/>
      <c r="C13" s="385">
        <f>DATOS!$D27</f>
        <v>6.5</v>
      </c>
      <c r="D13" s="386" t="e">
        <f>$C13/$B13</f>
        <v>#DIV/0!</v>
      </c>
      <c r="E13" s="384"/>
      <c r="F13" s="385">
        <f>DATOS!$F27</f>
        <v>6.5</v>
      </c>
      <c r="G13" s="386" t="e">
        <f t="shared" si="1"/>
        <v>#DIV/0!</v>
      </c>
      <c r="H13" s="384"/>
      <c r="I13" s="385">
        <f>DATOS!$H27</f>
        <v>6.5</v>
      </c>
      <c r="J13" s="386" t="e">
        <f t="shared" si="2"/>
        <v>#DIV/0!</v>
      </c>
      <c r="K13" s="384"/>
      <c r="L13" s="385">
        <f>DATOS!$J27</f>
        <v>6.5</v>
      </c>
      <c r="M13" s="386" t="e">
        <f t="shared" si="3"/>
        <v>#DIV/0!</v>
      </c>
      <c r="N13" s="384"/>
      <c r="O13" s="385">
        <f>DATOS!$L27</f>
        <v>6.5</v>
      </c>
      <c r="P13" s="386" t="e">
        <f t="shared" si="4"/>
        <v>#DIV/0!</v>
      </c>
      <c r="Q13" s="384"/>
      <c r="R13" s="385">
        <f>DATOS!$N27</f>
        <v>6.5</v>
      </c>
      <c r="S13" s="386" t="e">
        <f t="shared" si="5"/>
        <v>#DIV/0!</v>
      </c>
    </row>
    <row r="14" spans="1:32" s="264" customFormat="1" ht="15" x14ac:dyDescent="0.2">
      <c r="A14" s="272" t="s">
        <v>143</v>
      </c>
      <c r="B14" s="387"/>
      <c r="C14" s="385">
        <f>DATOS!$D28</f>
        <v>1</v>
      </c>
      <c r="D14" s="386" t="e">
        <f t="shared" si="0"/>
        <v>#DIV/0!</v>
      </c>
      <c r="E14" s="387"/>
      <c r="F14" s="385">
        <f>DATOS!$F28</f>
        <v>1</v>
      </c>
      <c r="G14" s="386" t="e">
        <f t="shared" si="1"/>
        <v>#DIV/0!</v>
      </c>
      <c r="H14" s="387"/>
      <c r="I14" s="385">
        <f>DATOS!$H28</f>
        <v>1</v>
      </c>
      <c r="J14" s="386" t="e">
        <f t="shared" si="2"/>
        <v>#DIV/0!</v>
      </c>
      <c r="K14" s="387"/>
      <c r="L14" s="385">
        <f>DATOS!$J28</f>
        <v>1</v>
      </c>
      <c r="M14" s="386" t="e">
        <f t="shared" si="3"/>
        <v>#DIV/0!</v>
      </c>
      <c r="N14" s="387"/>
      <c r="O14" s="385">
        <f>DATOS!$L28</f>
        <v>1</v>
      </c>
      <c r="P14" s="386" t="e">
        <f t="shared" si="4"/>
        <v>#DIV/0!</v>
      </c>
      <c r="Q14" s="387"/>
      <c r="R14" s="385">
        <f>DATOS!$N28</f>
        <v>1</v>
      </c>
      <c r="S14" s="386" t="e">
        <f t="shared" si="5"/>
        <v>#DIV/0!</v>
      </c>
    </row>
    <row r="15" spans="1:32" s="264" customFormat="1" ht="15.75" thickBot="1" x14ac:dyDescent="0.25">
      <c r="A15" s="273" t="s">
        <v>233</v>
      </c>
      <c r="B15" s="388"/>
      <c r="C15" s="385">
        <f>DATOS!$D29</f>
        <v>0</v>
      </c>
      <c r="D15" s="386" t="e">
        <f t="shared" si="0"/>
        <v>#DIV/0!</v>
      </c>
      <c r="E15" s="388"/>
      <c r="F15" s="385">
        <f>DATOS!$F29</f>
        <v>0</v>
      </c>
      <c r="G15" s="386" t="e">
        <f t="shared" si="1"/>
        <v>#DIV/0!</v>
      </c>
      <c r="H15" s="388"/>
      <c r="I15" s="385">
        <f>DATOS!$H29</f>
        <v>0</v>
      </c>
      <c r="J15" s="386" t="e">
        <f t="shared" si="2"/>
        <v>#DIV/0!</v>
      </c>
      <c r="K15" s="388"/>
      <c r="L15" s="385">
        <f>DATOS!$J29</f>
        <v>0</v>
      </c>
      <c r="M15" s="386" t="e">
        <f t="shared" si="3"/>
        <v>#DIV/0!</v>
      </c>
      <c r="N15" s="388"/>
      <c r="O15" s="385">
        <f>DATOS!$L29</f>
        <v>0</v>
      </c>
      <c r="P15" s="386" t="e">
        <f t="shared" si="4"/>
        <v>#DIV/0!</v>
      </c>
      <c r="Q15" s="388"/>
      <c r="R15" s="385">
        <f>DATOS!$N29</f>
        <v>0</v>
      </c>
      <c r="S15" s="386" t="e">
        <f t="shared" si="5"/>
        <v>#DIV/0!</v>
      </c>
    </row>
    <row r="16" spans="1:32" s="275" customFormat="1" ht="16.5" thickBot="1" x14ac:dyDescent="0.3">
      <c r="A16" s="274" t="s">
        <v>232</v>
      </c>
      <c r="B16" s="389">
        <f>SUM(B13:B15)</f>
        <v>0</v>
      </c>
      <c r="C16" s="390">
        <f>SUM(C13:C15)</f>
        <v>7.5</v>
      </c>
      <c r="D16" s="386" t="e">
        <f t="shared" si="0"/>
        <v>#DIV/0!</v>
      </c>
      <c r="E16" s="389">
        <f>SUM(E13:E15)</f>
        <v>0</v>
      </c>
      <c r="F16" s="390">
        <f>SUM(F13:F15)</f>
        <v>7.5</v>
      </c>
      <c r="G16" s="386" t="e">
        <f t="shared" si="1"/>
        <v>#DIV/0!</v>
      </c>
      <c r="H16" s="389">
        <f>SUM(H13:H15)</f>
        <v>0</v>
      </c>
      <c r="I16" s="390">
        <f>SUM(I13:I15)</f>
        <v>7.5</v>
      </c>
      <c r="J16" s="386" t="e">
        <f t="shared" si="2"/>
        <v>#DIV/0!</v>
      </c>
      <c r="K16" s="389">
        <f>SUM(K13:K15)</f>
        <v>0</v>
      </c>
      <c r="L16" s="390">
        <f>SUM(L13:L15)</f>
        <v>7.5</v>
      </c>
      <c r="M16" s="386" t="e">
        <f t="shared" si="3"/>
        <v>#DIV/0!</v>
      </c>
      <c r="N16" s="389">
        <f>SUM(N13:N15)</f>
        <v>0</v>
      </c>
      <c r="O16" s="390">
        <f>SUM(O13:O15)</f>
        <v>7.5</v>
      </c>
      <c r="P16" s="386" t="e">
        <f t="shared" si="4"/>
        <v>#DIV/0!</v>
      </c>
      <c r="Q16" s="389">
        <f>SUM(Q13:Q15)</f>
        <v>0</v>
      </c>
      <c r="R16" s="390">
        <f>SUM(R13:R15)</f>
        <v>7.5</v>
      </c>
      <c r="S16" s="386" t="e">
        <f t="shared" si="5"/>
        <v>#DIV/0!</v>
      </c>
    </row>
    <row r="17" spans="1:19" s="264" customFormat="1" ht="15" x14ac:dyDescent="0.2"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</row>
    <row r="18" spans="1:19" s="264" customFormat="1" ht="15" x14ac:dyDescent="0.2"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</row>
    <row r="19" spans="1:19" s="264" customFormat="1" ht="15.75" thickBot="1" x14ac:dyDescent="0.25"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</row>
    <row r="20" spans="1:19" s="264" customFormat="1" ht="16.5" customHeight="1" thickBot="1" x14ac:dyDescent="0.3">
      <c r="A20" s="271"/>
      <c r="B20" s="392" t="s">
        <v>6</v>
      </c>
      <c r="C20" s="393"/>
      <c r="D20" s="394"/>
      <c r="E20" s="392" t="s">
        <v>7</v>
      </c>
      <c r="F20" s="393"/>
      <c r="G20" s="394"/>
      <c r="H20" s="395" t="s">
        <v>8</v>
      </c>
      <c r="I20" s="393"/>
      <c r="J20" s="394"/>
      <c r="K20" s="392" t="s">
        <v>9</v>
      </c>
      <c r="L20" s="393"/>
      <c r="M20" s="394"/>
      <c r="N20" s="392" t="s">
        <v>10</v>
      </c>
      <c r="O20" s="393"/>
      <c r="P20" s="394"/>
      <c r="Q20" s="392" t="s">
        <v>11</v>
      </c>
      <c r="R20" s="393"/>
      <c r="S20" s="394"/>
    </row>
    <row r="21" spans="1:19" s="264" customFormat="1" ht="16.5" thickBot="1" x14ac:dyDescent="0.3">
      <c r="A21" s="272"/>
      <c r="B21" s="381" t="s">
        <v>227</v>
      </c>
      <c r="C21" s="382" t="s">
        <v>228</v>
      </c>
      <c r="D21" s="383" t="s">
        <v>215</v>
      </c>
      <c r="E21" s="381" t="s">
        <v>227</v>
      </c>
      <c r="F21" s="382" t="s">
        <v>228</v>
      </c>
      <c r="G21" s="383" t="s">
        <v>215</v>
      </c>
      <c r="H21" s="381" t="s">
        <v>227</v>
      </c>
      <c r="I21" s="382" t="s">
        <v>228</v>
      </c>
      <c r="J21" s="383" t="s">
        <v>215</v>
      </c>
      <c r="K21" s="381" t="s">
        <v>227</v>
      </c>
      <c r="L21" s="382" t="s">
        <v>228</v>
      </c>
      <c r="M21" s="383" t="s">
        <v>215</v>
      </c>
      <c r="N21" s="381" t="s">
        <v>227</v>
      </c>
      <c r="O21" s="382" t="s">
        <v>228</v>
      </c>
      <c r="P21" s="383" t="s">
        <v>215</v>
      </c>
      <c r="Q21" s="381" t="s">
        <v>227</v>
      </c>
      <c r="R21" s="382" t="s">
        <v>228</v>
      </c>
      <c r="S21" s="383" t="s">
        <v>215</v>
      </c>
    </row>
    <row r="22" spans="1:19" s="264" customFormat="1" ht="15" x14ac:dyDescent="0.2">
      <c r="A22" s="271" t="s">
        <v>229</v>
      </c>
      <c r="B22" s="384"/>
      <c r="C22" s="385">
        <f>DATOS!$P23</f>
        <v>2</v>
      </c>
      <c r="D22" s="386" t="e">
        <f>($C22/$B22)</f>
        <v>#DIV/0!</v>
      </c>
      <c r="E22" s="384"/>
      <c r="F22" s="385">
        <f>DATOS!$R23</f>
        <v>2</v>
      </c>
      <c r="G22" s="386" t="e">
        <f>($F22/$E22)</f>
        <v>#DIV/0!</v>
      </c>
      <c r="H22" s="384"/>
      <c r="I22" s="385">
        <f>DATOS!$T23</f>
        <v>2</v>
      </c>
      <c r="J22" s="386" t="e">
        <f>($I22/$H22)</f>
        <v>#DIV/0!</v>
      </c>
      <c r="K22" s="384"/>
      <c r="L22" s="385">
        <f>DATOS!$V23</f>
        <v>2</v>
      </c>
      <c r="M22" s="386" t="e">
        <f>($L22/$K22)</f>
        <v>#DIV/0!</v>
      </c>
      <c r="N22" s="384"/>
      <c r="O22" s="385">
        <f>DATOS!$X23</f>
        <v>2</v>
      </c>
      <c r="P22" s="386" t="e">
        <f>($O22/$N22)</f>
        <v>#DIV/0!</v>
      </c>
      <c r="Q22" s="384"/>
      <c r="R22" s="385">
        <f>DATOS!$Z23</f>
        <v>2</v>
      </c>
      <c r="S22" s="386" t="e">
        <f>($R22/$Q22)</f>
        <v>#DIV/0!</v>
      </c>
    </row>
    <row r="23" spans="1:19" s="264" customFormat="1" ht="15" x14ac:dyDescent="0.2">
      <c r="A23" s="272" t="s">
        <v>230</v>
      </c>
      <c r="B23" s="387"/>
      <c r="C23" s="385">
        <f>DATOS!$P24</f>
        <v>3</v>
      </c>
      <c r="D23" s="386" t="e">
        <f t="shared" ref="D23:D29" si="6">($C23/$B23)</f>
        <v>#DIV/0!</v>
      </c>
      <c r="E23" s="387"/>
      <c r="F23" s="385">
        <f>DATOS!$R24</f>
        <v>3</v>
      </c>
      <c r="G23" s="386" t="e">
        <f t="shared" ref="G23:G29" si="7">($F23/$E23)</f>
        <v>#DIV/0!</v>
      </c>
      <c r="H23" s="387"/>
      <c r="I23" s="385">
        <f>DATOS!$T24</f>
        <v>3</v>
      </c>
      <c r="J23" s="386" t="e">
        <f t="shared" ref="J23:J29" si="8">($I23/$H23)</f>
        <v>#DIV/0!</v>
      </c>
      <c r="K23" s="387"/>
      <c r="L23" s="385">
        <f>DATOS!$V24</f>
        <v>3.29</v>
      </c>
      <c r="M23" s="386" t="e">
        <f t="shared" ref="M23:M29" si="9">($L23/$K23)</f>
        <v>#DIV/0!</v>
      </c>
      <c r="N23" s="387"/>
      <c r="O23" s="385">
        <f>DATOS!$X24</f>
        <v>3.29</v>
      </c>
      <c r="P23" s="386" t="e">
        <f t="shared" ref="P23:P29" si="10">($O23/$N23)</f>
        <v>#DIV/0!</v>
      </c>
      <c r="Q23" s="387"/>
      <c r="R23" s="385">
        <f>DATOS!$Z24</f>
        <v>0</v>
      </c>
      <c r="S23" s="386" t="e">
        <f t="shared" ref="S23:S29" si="11">($R23/$Q23)</f>
        <v>#DIV/0!</v>
      </c>
    </row>
    <row r="24" spans="1:19" s="264" customFormat="1" ht="15.75" thickBot="1" x14ac:dyDescent="0.25">
      <c r="A24" s="273" t="s">
        <v>231</v>
      </c>
      <c r="B24" s="388"/>
      <c r="C24" s="385">
        <f>DATOS!$P25</f>
        <v>2.5</v>
      </c>
      <c r="D24" s="386" t="e">
        <f t="shared" si="6"/>
        <v>#DIV/0!</v>
      </c>
      <c r="E24" s="388"/>
      <c r="F24" s="385">
        <f>DATOS!$R25</f>
        <v>2.5</v>
      </c>
      <c r="G24" s="386" t="e">
        <f t="shared" si="7"/>
        <v>#DIV/0!</v>
      </c>
      <c r="H24" s="388"/>
      <c r="I24" s="385">
        <f>DATOS!$T25</f>
        <v>2.5</v>
      </c>
      <c r="J24" s="386" t="e">
        <f t="shared" si="8"/>
        <v>#DIV/0!</v>
      </c>
      <c r="K24" s="388"/>
      <c r="L24" s="385">
        <f>DATOS!$V25</f>
        <v>2.5</v>
      </c>
      <c r="M24" s="386" t="e">
        <f t="shared" si="9"/>
        <v>#DIV/0!</v>
      </c>
      <c r="N24" s="388"/>
      <c r="O24" s="385">
        <f>DATOS!$X25</f>
        <v>2.5</v>
      </c>
      <c r="P24" s="386" t="e">
        <f t="shared" si="10"/>
        <v>#DIV/0!</v>
      </c>
      <c r="Q24" s="388"/>
      <c r="R24" s="385">
        <f>DATOS!$Z25</f>
        <v>0</v>
      </c>
      <c r="S24" s="386" t="e">
        <f t="shared" si="11"/>
        <v>#DIV/0!</v>
      </c>
    </row>
    <row r="25" spans="1:19" s="264" customFormat="1" ht="16.5" thickBot="1" x14ac:dyDescent="0.3">
      <c r="A25" s="274" t="s">
        <v>232</v>
      </c>
      <c r="B25" s="389">
        <f>SUM(B22:B24)</f>
        <v>0</v>
      </c>
      <c r="C25" s="390">
        <f>SUM(C22:C24)</f>
        <v>7.5</v>
      </c>
      <c r="D25" s="386" t="e">
        <f t="shared" si="6"/>
        <v>#DIV/0!</v>
      </c>
      <c r="E25" s="389">
        <f>SUM(E22:E24)</f>
        <v>0</v>
      </c>
      <c r="F25" s="390">
        <f>SUM(F22:F24)</f>
        <v>7.5</v>
      </c>
      <c r="G25" s="386" t="e">
        <f t="shared" si="7"/>
        <v>#DIV/0!</v>
      </c>
      <c r="H25" s="389">
        <f>SUM(H22:H24)</f>
        <v>0</v>
      </c>
      <c r="I25" s="390">
        <f>SUM(I22:I24)</f>
        <v>7.5</v>
      </c>
      <c r="J25" s="386" t="e">
        <f t="shared" si="8"/>
        <v>#DIV/0!</v>
      </c>
      <c r="K25" s="389">
        <f>SUM(K22:K24)</f>
        <v>0</v>
      </c>
      <c r="L25" s="390">
        <f>SUM(L22:L24)</f>
        <v>7.79</v>
      </c>
      <c r="M25" s="386" t="e">
        <f t="shared" si="9"/>
        <v>#DIV/0!</v>
      </c>
      <c r="N25" s="389">
        <f>SUM(N22:N24)</f>
        <v>0</v>
      </c>
      <c r="O25" s="390">
        <f>SUM(O22:O24)</f>
        <v>7.79</v>
      </c>
      <c r="P25" s="386" t="e">
        <f t="shared" si="10"/>
        <v>#DIV/0!</v>
      </c>
      <c r="Q25" s="389">
        <f>SUM(Q22:Q24)</f>
        <v>0</v>
      </c>
      <c r="R25" s="390">
        <f>SUM(R22:R24)</f>
        <v>2</v>
      </c>
      <c r="S25" s="386" t="e">
        <f t="shared" si="11"/>
        <v>#DIV/0!</v>
      </c>
    </row>
    <row r="26" spans="1:19" s="264" customFormat="1" ht="15" x14ac:dyDescent="0.2">
      <c r="A26" s="276" t="s">
        <v>142</v>
      </c>
      <c r="B26" s="384"/>
      <c r="C26" s="385">
        <f>DATOS!$P27</f>
        <v>6.5</v>
      </c>
      <c r="D26" s="386" t="e">
        <f t="shared" si="6"/>
        <v>#DIV/0!</v>
      </c>
      <c r="E26" s="384"/>
      <c r="F26" s="385">
        <f>DATOS!$R27</f>
        <v>6.5</v>
      </c>
      <c r="G26" s="386" t="e">
        <f t="shared" si="7"/>
        <v>#DIV/0!</v>
      </c>
      <c r="H26" s="384"/>
      <c r="I26" s="385">
        <f>DATOS!$T27</f>
        <v>6.5</v>
      </c>
      <c r="J26" s="386" t="e">
        <f t="shared" si="8"/>
        <v>#DIV/0!</v>
      </c>
      <c r="K26" s="384"/>
      <c r="L26" s="385">
        <f>DATOS!$V27</f>
        <v>6.5</v>
      </c>
      <c r="M26" s="386" t="e">
        <f t="shared" si="9"/>
        <v>#DIV/0!</v>
      </c>
      <c r="N26" s="384"/>
      <c r="O26" s="385">
        <f>DATOS!$X27</f>
        <v>6.79</v>
      </c>
      <c r="P26" s="386" t="e">
        <f t="shared" si="10"/>
        <v>#DIV/0!</v>
      </c>
      <c r="Q26" s="384"/>
      <c r="R26" s="385">
        <f>DATOS!$Z27</f>
        <v>6.5</v>
      </c>
      <c r="S26" s="386" t="e">
        <f t="shared" si="11"/>
        <v>#DIV/0!</v>
      </c>
    </row>
    <row r="27" spans="1:19" s="264" customFormat="1" ht="15" x14ac:dyDescent="0.2">
      <c r="A27" s="272" t="s">
        <v>143</v>
      </c>
      <c r="B27" s="387"/>
      <c r="C27" s="385">
        <f>DATOS!$P28</f>
        <v>1</v>
      </c>
      <c r="D27" s="386" t="e">
        <f t="shared" si="6"/>
        <v>#DIV/0!</v>
      </c>
      <c r="E27" s="387"/>
      <c r="F27" s="385">
        <f>DATOS!$R28</f>
        <v>1</v>
      </c>
      <c r="G27" s="386" t="e">
        <f t="shared" si="7"/>
        <v>#DIV/0!</v>
      </c>
      <c r="H27" s="387"/>
      <c r="I27" s="385">
        <f>DATOS!$T28</f>
        <v>1</v>
      </c>
      <c r="J27" s="386" t="e">
        <f t="shared" si="8"/>
        <v>#DIV/0!</v>
      </c>
      <c r="K27" s="387"/>
      <c r="L27" s="385">
        <f>DATOS!$V28</f>
        <v>1</v>
      </c>
      <c r="M27" s="386" t="e">
        <f t="shared" si="9"/>
        <v>#DIV/0!</v>
      </c>
      <c r="N27" s="387"/>
      <c r="O27" s="385">
        <f>DATOS!$X28</f>
        <v>1</v>
      </c>
      <c r="P27" s="386" t="e">
        <f t="shared" si="10"/>
        <v>#DIV/0!</v>
      </c>
      <c r="Q27" s="387"/>
      <c r="R27" s="385">
        <f>DATOS!$Z28</f>
        <v>1</v>
      </c>
      <c r="S27" s="386" t="e">
        <f t="shared" si="11"/>
        <v>#DIV/0!</v>
      </c>
    </row>
    <row r="28" spans="1:19" s="264" customFormat="1" ht="15.75" thickBot="1" x14ac:dyDescent="0.25">
      <c r="A28" s="273" t="s">
        <v>233</v>
      </c>
      <c r="B28" s="388"/>
      <c r="C28" s="385">
        <f>DATOS!$P29</f>
        <v>0</v>
      </c>
      <c r="D28" s="386" t="e">
        <f t="shared" si="6"/>
        <v>#DIV/0!</v>
      </c>
      <c r="E28" s="388"/>
      <c r="F28" s="385">
        <f>DATOS!$R29</f>
        <v>0</v>
      </c>
      <c r="G28" s="386" t="e">
        <f t="shared" si="7"/>
        <v>#DIV/0!</v>
      </c>
      <c r="H28" s="388"/>
      <c r="I28" s="385">
        <f>DATOS!$T29</f>
        <v>0</v>
      </c>
      <c r="J28" s="386" t="e">
        <f t="shared" si="8"/>
        <v>#DIV/0!</v>
      </c>
      <c r="K28" s="388"/>
      <c r="L28" s="385">
        <f>DATOS!$V29</f>
        <v>0</v>
      </c>
      <c r="M28" s="386" t="e">
        <f t="shared" si="9"/>
        <v>#DIV/0!</v>
      </c>
      <c r="N28" s="388"/>
      <c r="O28" s="385">
        <f>DATOS!$X29</f>
        <v>0</v>
      </c>
      <c r="P28" s="386" t="e">
        <f t="shared" si="10"/>
        <v>#DIV/0!</v>
      </c>
      <c r="Q28" s="388"/>
      <c r="R28" s="385">
        <f>DATOS!$Z29</f>
        <v>0</v>
      </c>
      <c r="S28" s="386" t="e">
        <f t="shared" si="11"/>
        <v>#DIV/0!</v>
      </c>
    </row>
    <row r="29" spans="1:19" s="264" customFormat="1" ht="16.5" thickBot="1" x14ac:dyDescent="0.3">
      <c r="A29" s="274" t="s">
        <v>232</v>
      </c>
      <c r="B29" s="389">
        <f>SUM(B26:B28)</f>
        <v>0</v>
      </c>
      <c r="C29" s="390">
        <f>SUM(C26:C28)</f>
        <v>7.5</v>
      </c>
      <c r="D29" s="386" t="e">
        <f t="shared" si="6"/>
        <v>#DIV/0!</v>
      </c>
      <c r="E29" s="389">
        <f>SUM(E26:E28)</f>
        <v>0</v>
      </c>
      <c r="F29" s="390">
        <f>SUM(F26:F28)</f>
        <v>7.5</v>
      </c>
      <c r="G29" s="386" t="e">
        <f t="shared" si="7"/>
        <v>#DIV/0!</v>
      </c>
      <c r="H29" s="389">
        <f>SUM(H26:H28)</f>
        <v>0</v>
      </c>
      <c r="I29" s="390">
        <f>SUM(I26:I28)</f>
        <v>7.5</v>
      </c>
      <c r="J29" s="386" t="e">
        <f t="shared" si="8"/>
        <v>#DIV/0!</v>
      </c>
      <c r="K29" s="389">
        <f>SUM(K26:K28)</f>
        <v>0</v>
      </c>
      <c r="L29" s="390">
        <f>SUM(L26:L28)</f>
        <v>7.5</v>
      </c>
      <c r="M29" s="386" t="e">
        <f t="shared" si="9"/>
        <v>#DIV/0!</v>
      </c>
      <c r="N29" s="389">
        <f>SUM(N26:N28)</f>
        <v>0</v>
      </c>
      <c r="O29" s="390">
        <f>SUM(O26:O28)</f>
        <v>7.79</v>
      </c>
      <c r="P29" s="386" t="e">
        <f t="shared" si="10"/>
        <v>#DIV/0!</v>
      </c>
      <c r="Q29" s="389">
        <f>SUM(Q26:Q28)</f>
        <v>0</v>
      </c>
      <c r="R29" s="390">
        <f>SUM(R26:R28)</f>
        <v>7.5</v>
      </c>
      <c r="S29" s="386" t="e">
        <f t="shared" si="11"/>
        <v>#DIV/0!</v>
      </c>
    </row>
    <row r="30" spans="1:19" s="264" customFormat="1" ht="15" x14ac:dyDescent="0.2"/>
    <row r="31" spans="1:19" s="264" customFormat="1" ht="15" x14ac:dyDescent="0.2"/>
    <row r="32" spans="1:19" s="264" customFormat="1" ht="15" x14ac:dyDescent="0.2"/>
    <row r="33" s="264" customFormat="1" ht="15" x14ac:dyDescent="0.2"/>
    <row r="34" s="264" customFormat="1" ht="15" x14ac:dyDescent="0.2"/>
    <row r="35" s="264" customFormat="1" ht="15" x14ac:dyDescent="0.2"/>
    <row r="36" s="264" customFormat="1" ht="15" x14ac:dyDescent="0.2"/>
    <row r="37" s="264" customFormat="1" ht="15" x14ac:dyDescent="0.2"/>
    <row r="38" s="264" customFormat="1" ht="15" x14ac:dyDescent="0.2"/>
    <row r="39" s="264" customFormat="1" ht="15" x14ac:dyDescent="0.2"/>
    <row r="40" s="264" customFormat="1" ht="15" x14ac:dyDescent="0.2"/>
    <row r="41" s="264" customFormat="1" ht="15" x14ac:dyDescent="0.2"/>
    <row r="42" s="264" customFormat="1" ht="15" x14ac:dyDescent="0.2"/>
    <row r="43" s="264" customFormat="1" ht="15" x14ac:dyDescent="0.2"/>
    <row r="44" s="264" customFormat="1" ht="15" x14ac:dyDescent="0.2"/>
    <row r="45" s="264" customFormat="1" ht="15" x14ac:dyDescent="0.2"/>
    <row r="46" s="264" customFormat="1" ht="15" x14ac:dyDescent="0.2"/>
    <row r="47" s="264" customFormat="1" ht="15" x14ac:dyDescent="0.2"/>
    <row r="48" s="264" customFormat="1" ht="15" x14ac:dyDescent="0.2"/>
    <row r="49" s="264" customFormat="1" ht="15" x14ac:dyDescent="0.2"/>
    <row r="50" s="264" customFormat="1" ht="15" x14ac:dyDescent="0.2"/>
    <row r="51" s="264" customFormat="1" ht="15" x14ac:dyDescent="0.2"/>
    <row r="52" s="264" customFormat="1" ht="15" x14ac:dyDescent="0.2"/>
    <row r="53" s="264" customFormat="1" ht="15" x14ac:dyDescent="0.2"/>
    <row r="54" s="264" customFormat="1" ht="15" x14ac:dyDescent="0.2"/>
    <row r="55" s="264" customFormat="1" ht="15" x14ac:dyDescent="0.2"/>
    <row r="56" s="264" customFormat="1" ht="15" x14ac:dyDescent="0.2"/>
    <row r="57" s="264" customFormat="1" ht="15" x14ac:dyDescent="0.2"/>
    <row r="58" s="264" customFormat="1" ht="15" x14ac:dyDescent="0.2"/>
    <row r="59" s="264" customFormat="1" ht="15" x14ac:dyDescent="0.2"/>
    <row r="60" s="264" customFormat="1" ht="15" x14ac:dyDescent="0.2"/>
    <row r="61" s="264" customFormat="1" ht="15" x14ac:dyDescent="0.2"/>
    <row r="62" s="264" customFormat="1" ht="15" x14ac:dyDescent="0.2"/>
    <row r="63" s="264" customFormat="1" ht="15" x14ac:dyDescent="0.2"/>
    <row r="64" s="264" customFormat="1" ht="15" x14ac:dyDescent="0.2"/>
    <row r="65" s="264" customFormat="1" ht="15" x14ac:dyDescent="0.2"/>
    <row r="66" s="264" customFormat="1" ht="15" x14ac:dyDescent="0.2"/>
    <row r="67" s="264" customFormat="1" ht="15" x14ac:dyDescent="0.2"/>
    <row r="68" s="264" customFormat="1" ht="15" x14ac:dyDescent="0.2"/>
    <row r="69" s="264" customFormat="1" ht="15" x14ac:dyDescent="0.2"/>
    <row r="70" s="264" customFormat="1" ht="15" x14ac:dyDescent="0.2"/>
    <row r="71" s="264" customFormat="1" ht="15" x14ac:dyDescent="0.2"/>
    <row r="72" s="264" customFormat="1" ht="15" x14ac:dyDescent="0.2"/>
    <row r="73" s="264" customFormat="1" ht="15" x14ac:dyDescent="0.2"/>
    <row r="74" s="264" customFormat="1" ht="15" x14ac:dyDescent="0.2"/>
    <row r="75" s="264" customFormat="1" ht="15" x14ac:dyDescent="0.2"/>
    <row r="76" s="264" customFormat="1" ht="15" x14ac:dyDescent="0.2"/>
    <row r="77" s="264" customFormat="1" ht="15" x14ac:dyDescent="0.2"/>
    <row r="78" s="264" customFormat="1" ht="15" x14ac:dyDescent="0.2"/>
    <row r="79" s="264" customFormat="1" ht="15" x14ac:dyDescent="0.2"/>
    <row r="80" s="264" customFormat="1" ht="15" x14ac:dyDescent="0.2"/>
    <row r="81" s="264" customFormat="1" ht="15" x14ac:dyDescent="0.2"/>
    <row r="82" s="264" customFormat="1" ht="15" x14ac:dyDescent="0.2"/>
    <row r="83" s="264" customFormat="1" ht="15" x14ac:dyDescent="0.2"/>
    <row r="84" s="264" customFormat="1" ht="15" x14ac:dyDescent="0.2"/>
    <row r="85" s="264" customFormat="1" ht="15" x14ac:dyDescent="0.2"/>
    <row r="86" s="264" customFormat="1" ht="15" x14ac:dyDescent="0.2"/>
    <row r="87" s="264" customFormat="1" ht="15" x14ac:dyDescent="0.2"/>
    <row r="88" s="264" customFormat="1" ht="15" x14ac:dyDescent="0.2"/>
    <row r="89" s="264" customFormat="1" ht="15" x14ac:dyDescent="0.2"/>
    <row r="90" s="264" customFormat="1" ht="15" x14ac:dyDescent="0.2"/>
    <row r="91" s="264" customFormat="1" ht="15" x14ac:dyDescent="0.2"/>
    <row r="92" s="264" customFormat="1" ht="15" x14ac:dyDescent="0.2"/>
    <row r="93" s="264" customFormat="1" ht="15" x14ac:dyDescent="0.2"/>
    <row r="94" s="264" customFormat="1" ht="15" x14ac:dyDescent="0.2"/>
    <row r="95" s="264" customFormat="1" ht="15" x14ac:dyDescent="0.2"/>
    <row r="96" s="264" customFormat="1" ht="15" x14ac:dyDescent="0.2"/>
    <row r="97" s="264" customFormat="1" ht="15" x14ac:dyDescent="0.2"/>
    <row r="98" s="264" customFormat="1" ht="15" x14ac:dyDescent="0.2"/>
    <row r="99" s="264" customFormat="1" ht="15" x14ac:dyDescent="0.2"/>
    <row r="100" s="264" customFormat="1" ht="15" x14ac:dyDescent="0.2"/>
    <row r="101" s="264" customFormat="1" ht="15" x14ac:dyDescent="0.2"/>
    <row r="102" s="264" customFormat="1" ht="15" x14ac:dyDescent="0.2"/>
    <row r="103" s="264" customFormat="1" ht="15" x14ac:dyDescent="0.2"/>
    <row r="104" s="264" customFormat="1" ht="15" x14ac:dyDescent="0.2"/>
    <row r="105" s="264" customFormat="1" ht="15" x14ac:dyDescent="0.2"/>
    <row r="106" s="264" customFormat="1" ht="15" x14ac:dyDescent="0.2"/>
    <row r="107" s="264" customFormat="1" ht="15" x14ac:dyDescent="0.2"/>
    <row r="108" s="264" customFormat="1" ht="15" x14ac:dyDescent="0.2"/>
    <row r="109" s="264" customFormat="1" ht="15" x14ac:dyDescent="0.2"/>
    <row r="110" s="264" customFormat="1" ht="15" x14ac:dyDescent="0.2"/>
    <row r="111" s="264" customFormat="1" ht="15" x14ac:dyDescent="0.2"/>
    <row r="112" s="264" customFormat="1" ht="15" x14ac:dyDescent="0.2"/>
    <row r="113" s="264" customFormat="1" ht="15" x14ac:dyDescent="0.2"/>
    <row r="114" s="264" customFormat="1" ht="15" x14ac:dyDescent="0.2"/>
    <row r="115" s="264" customFormat="1" ht="15" x14ac:dyDescent="0.2"/>
    <row r="116" s="264" customFormat="1" ht="15" x14ac:dyDescent="0.2"/>
    <row r="117" s="264" customFormat="1" ht="15" x14ac:dyDescent="0.2"/>
    <row r="118" s="264" customFormat="1" ht="15" x14ac:dyDescent="0.2"/>
    <row r="119" s="264" customFormat="1" ht="15" x14ac:dyDescent="0.2"/>
    <row r="120" s="264" customFormat="1" ht="15" x14ac:dyDescent="0.2"/>
    <row r="121" s="264" customFormat="1" ht="15" x14ac:dyDescent="0.2"/>
    <row r="122" s="264" customFormat="1" ht="15" x14ac:dyDescent="0.2"/>
    <row r="123" s="264" customFormat="1" ht="15" x14ac:dyDescent="0.2"/>
    <row r="124" s="264" customFormat="1" ht="15" x14ac:dyDescent="0.2"/>
    <row r="125" s="264" customFormat="1" ht="15" x14ac:dyDescent="0.2"/>
    <row r="126" s="264" customFormat="1" ht="15" x14ac:dyDescent="0.2"/>
    <row r="127" s="264" customFormat="1" ht="15" x14ac:dyDescent="0.2"/>
    <row r="128" s="264" customFormat="1" ht="15" x14ac:dyDescent="0.2"/>
    <row r="129" spans="1:1" s="264" customFormat="1" ht="15" x14ac:dyDescent="0.2"/>
    <row r="130" spans="1:1" s="264" customFormat="1" ht="15" x14ac:dyDescent="0.2"/>
    <row r="131" spans="1:1" s="264" customFormat="1" ht="15" x14ac:dyDescent="0.2"/>
    <row r="132" spans="1:1" s="264" customFormat="1" ht="15" x14ac:dyDescent="0.2"/>
    <row r="133" spans="1:1" s="264" customFormat="1" ht="15" x14ac:dyDescent="0.2"/>
    <row r="134" spans="1:1" s="264" customFormat="1" ht="15" x14ac:dyDescent="0.2"/>
    <row r="135" spans="1:1" s="264" customFormat="1" ht="15" x14ac:dyDescent="0.2"/>
    <row r="136" spans="1:1" s="264" customFormat="1" ht="15" x14ac:dyDescent="0.2"/>
    <row r="137" spans="1:1" s="264" customFormat="1" ht="15" x14ac:dyDescent="0.2"/>
    <row r="138" spans="1:1" s="264" customFormat="1" ht="15" x14ac:dyDescent="0.2"/>
    <row r="139" spans="1:1" s="264" customFormat="1" ht="15" x14ac:dyDescent="0.2"/>
    <row r="140" spans="1:1" s="264" customFormat="1" ht="15" x14ac:dyDescent="0.2"/>
    <row r="141" spans="1:1" s="264" customFormat="1" ht="15" x14ac:dyDescent="0.2"/>
    <row r="142" spans="1:1" ht="15" x14ac:dyDescent="0.2">
      <c r="A142" s="264"/>
    </row>
    <row r="143" spans="1:1" ht="15" x14ac:dyDescent="0.2">
      <c r="A143" s="264"/>
    </row>
  </sheetData>
  <mergeCells count="6">
    <mergeCell ref="Q7:S7"/>
    <mergeCell ref="B7:D7"/>
    <mergeCell ref="E7:G7"/>
    <mergeCell ref="H7:J7"/>
    <mergeCell ref="K7:M7"/>
    <mergeCell ref="N7:P7"/>
  </mergeCells>
  <pageMargins left="0.21" right="0.2" top="0.91" bottom="0.62" header="0" footer="0.4"/>
  <pageSetup paperSize="9" scale="80" orientation="landscape" horizontalDpi="4294967292" verticalDpi="300" r:id="rId1"/>
  <headerFooter alignWithMargins="0">
    <oddFooter>&amp;R&amp;12Pág.. 19</oddFooter>
  </headerFooter>
  <ignoredErrors>
    <ignoredError sqref="C9:C15 F9:F15 D9:D11 G9:G11 I9:I16 J9:J11 L9:L16 M9:M11 O9:O15 P9:P11 R9:R15 S9:S16 C22:C28 D22:D24 F22:F28 G22:G24 I22:I28 J22:J24 L22:L28 M22:M24 O22:O28 P22:P24 R22:R28 S22:S29" unlockedFormula="1"/>
    <ignoredError sqref="G12:G16 D12:D16 J12:J16 M12:M16 P12:P16 D25:D29 G25:G29 J25:J29 M25:M29 P25:P27 P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481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MSPhotoEd.3" shapeId="20481" r:id="rId4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tabColor rgb="FF41E3F9"/>
  </sheetPr>
  <dimension ref="A1:U83"/>
  <sheetViews>
    <sheetView topLeftCell="A44" zoomScale="70" zoomScaleNormal="70" workbookViewId="0">
      <selection activeCell="R74" sqref="R74"/>
    </sheetView>
  </sheetViews>
  <sheetFormatPr baseColWidth="10" defaultColWidth="10.85546875" defaultRowHeight="12.75" x14ac:dyDescent="0.2"/>
  <cols>
    <col min="1" max="2" width="10.85546875" style="90"/>
    <col min="3" max="3" width="13.28515625" style="90" customWidth="1"/>
    <col min="4" max="4" width="10" style="90" customWidth="1"/>
    <col min="5" max="5" width="13.42578125" style="90" bestFit="1" customWidth="1"/>
    <col min="6" max="6" width="9.85546875" style="90" customWidth="1"/>
    <col min="7" max="7" width="17.5703125" style="90" customWidth="1"/>
    <col min="8" max="8" width="17.140625" style="90" customWidth="1"/>
    <col min="9" max="10" width="10.85546875" style="90"/>
    <col min="11" max="11" width="19.5703125" style="90" bestFit="1" customWidth="1"/>
    <col min="12" max="13" width="12.85546875" style="90" customWidth="1"/>
    <col min="14" max="14" width="16.5703125" style="90" customWidth="1"/>
    <col min="15" max="15" width="13.5703125" style="90" customWidth="1"/>
    <col min="16" max="16" width="19.85546875" style="90" customWidth="1"/>
    <col min="17" max="17" width="16" style="90" customWidth="1"/>
    <col min="18" max="18" width="9.5703125" style="90" customWidth="1"/>
    <col min="19" max="19" width="12.85546875" style="90" customWidth="1"/>
    <col min="20" max="20" width="13.5703125" style="90" customWidth="1"/>
    <col min="21" max="16384" width="10.85546875" style="90"/>
  </cols>
  <sheetData>
    <row r="1" spans="1:21" x14ac:dyDescent="0.2">
      <c r="D1" s="1884" t="s">
        <v>748</v>
      </c>
      <c r="L1" s="1884" t="s">
        <v>748</v>
      </c>
      <c r="R1" s="1884" t="s">
        <v>748</v>
      </c>
    </row>
    <row r="2" spans="1:21" x14ac:dyDescent="0.2">
      <c r="D2" s="1884"/>
      <c r="L2" s="1884"/>
      <c r="R2" s="1884"/>
    </row>
    <row r="3" spans="1:21" ht="15" x14ac:dyDescent="0.25">
      <c r="A3" s="1868" t="s">
        <v>695</v>
      </c>
      <c r="B3" s="1868"/>
      <c r="C3" s="1868"/>
      <c r="D3" s="1884"/>
      <c r="E3" s="997" t="s">
        <v>707</v>
      </c>
      <c r="F3" s="997" t="s">
        <v>708</v>
      </c>
      <c r="G3" s="1868" t="s">
        <v>696</v>
      </c>
      <c r="H3" s="1868"/>
      <c r="I3" s="1868"/>
      <c r="J3" s="1868"/>
      <c r="L3" s="1884"/>
      <c r="M3" s="997" t="s">
        <v>709</v>
      </c>
      <c r="N3" s="997" t="s">
        <v>708</v>
      </c>
      <c r="O3" s="1866" t="s">
        <v>817</v>
      </c>
      <c r="P3" s="1867"/>
      <c r="Q3" s="1867"/>
      <c r="R3" s="1884"/>
      <c r="S3" s="999" t="s">
        <v>709</v>
      </c>
      <c r="T3" s="999" t="s">
        <v>708</v>
      </c>
    </row>
    <row r="4" spans="1:21" ht="13.5" thickBot="1" x14ac:dyDescent="0.25">
      <c r="D4" s="1884"/>
      <c r="I4" s="997" t="s">
        <v>708</v>
      </c>
      <c r="J4" s="997" t="s">
        <v>707</v>
      </c>
      <c r="L4" s="1884"/>
      <c r="R4" s="1884"/>
    </row>
    <row r="5" spans="1:21" ht="14.25" thickTop="1" thickBot="1" x14ac:dyDescent="0.25">
      <c r="A5" s="1845" t="s">
        <v>234</v>
      </c>
      <c r="B5" s="1850"/>
      <c r="C5" s="1846"/>
      <c r="D5" s="90">
        <v>1</v>
      </c>
      <c r="E5" s="998">
        <v>38292</v>
      </c>
      <c r="F5" s="998"/>
      <c r="G5" s="1885" t="s">
        <v>235</v>
      </c>
      <c r="H5" s="1886"/>
      <c r="I5" s="1068"/>
      <c r="K5" s="278" t="s">
        <v>236</v>
      </c>
      <c r="L5" s="90">
        <v>1</v>
      </c>
      <c r="M5" s="998">
        <v>38733</v>
      </c>
      <c r="N5" s="998"/>
      <c r="O5" s="1845" t="s">
        <v>711</v>
      </c>
      <c r="P5" s="1846"/>
      <c r="Q5" s="1068"/>
      <c r="R5" s="90">
        <v>0.5</v>
      </c>
      <c r="S5" s="998">
        <v>37673</v>
      </c>
      <c r="T5" s="998"/>
    </row>
    <row r="6" spans="1:21" ht="14.25" thickTop="1" thickBot="1" x14ac:dyDescent="0.25">
      <c r="A6" s="1845" t="s">
        <v>240</v>
      </c>
      <c r="B6" s="1850"/>
      <c r="C6" s="1846"/>
      <c r="D6" s="90">
        <v>0.5</v>
      </c>
      <c r="E6" s="998">
        <v>38600</v>
      </c>
      <c r="F6" s="998"/>
      <c r="G6" s="1845" t="s">
        <v>238</v>
      </c>
      <c r="H6" s="1846"/>
      <c r="K6" s="278" t="s">
        <v>239</v>
      </c>
      <c r="L6" s="90">
        <v>1</v>
      </c>
      <c r="M6" s="998">
        <v>36623</v>
      </c>
      <c r="N6" s="998"/>
      <c r="O6" s="1845" t="s">
        <v>699</v>
      </c>
      <c r="P6" s="1846"/>
      <c r="Q6" s="1068"/>
      <c r="R6" s="90">
        <v>1</v>
      </c>
      <c r="S6" s="998">
        <v>38400</v>
      </c>
      <c r="T6" s="998"/>
    </row>
    <row r="7" spans="1:21" ht="14.25" thickTop="1" thickBot="1" x14ac:dyDescent="0.25">
      <c r="A7" s="1845" t="s">
        <v>243</v>
      </c>
      <c r="B7" s="1850"/>
      <c r="C7" s="1846"/>
      <c r="D7" s="90">
        <v>0.5</v>
      </c>
      <c r="E7" s="998">
        <v>38600</v>
      </c>
      <c r="F7" s="998"/>
      <c r="G7" s="1845" t="s">
        <v>241</v>
      </c>
      <c r="H7" s="1846"/>
      <c r="K7" s="278" t="s">
        <v>242</v>
      </c>
      <c r="L7" s="90">
        <v>1</v>
      </c>
      <c r="M7" s="998">
        <v>38336</v>
      </c>
      <c r="N7" s="998"/>
      <c r="O7" s="1845" t="s">
        <v>700</v>
      </c>
      <c r="P7" s="1846"/>
      <c r="Q7" s="1068"/>
      <c r="R7" s="90">
        <v>1</v>
      </c>
      <c r="S7" s="998">
        <v>39135</v>
      </c>
      <c r="T7" s="998"/>
    </row>
    <row r="8" spans="1:21" ht="14.25" thickTop="1" thickBot="1" x14ac:dyDescent="0.25">
      <c r="A8" s="1845" t="s">
        <v>419</v>
      </c>
      <c r="B8" s="1850"/>
      <c r="C8" s="1846"/>
      <c r="D8" s="90">
        <v>0.5</v>
      </c>
      <c r="E8" s="998">
        <v>39722</v>
      </c>
      <c r="G8" s="1845" t="s">
        <v>244</v>
      </c>
      <c r="H8" s="1846"/>
      <c r="K8" s="989" t="s">
        <v>245</v>
      </c>
      <c r="L8" s="90">
        <v>1</v>
      </c>
      <c r="M8" s="998">
        <v>38516</v>
      </c>
      <c r="N8" s="998"/>
      <c r="O8" s="1845" t="s">
        <v>701</v>
      </c>
      <c r="P8" s="1846"/>
      <c r="Q8" s="1068"/>
      <c r="R8" s="90">
        <v>1</v>
      </c>
      <c r="S8" s="998">
        <v>38412</v>
      </c>
      <c r="T8" s="998"/>
    </row>
    <row r="9" spans="1:21" ht="14.25" thickTop="1" thickBot="1" x14ac:dyDescent="0.25">
      <c r="A9" s="1830"/>
      <c r="B9" s="1830"/>
      <c r="C9" s="1830"/>
      <c r="D9" s="1063"/>
      <c r="G9" s="1845" t="s">
        <v>246</v>
      </c>
      <c r="H9" s="1846"/>
      <c r="I9" s="1068"/>
      <c r="K9" s="989" t="s">
        <v>247</v>
      </c>
      <c r="L9" s="90">
        <v>1</v>
      </c>
      <c r="M9" s="998">
        <v>39090</v>
      </c>
      <c r="N9" s="989"/>
      <c r="O9" s="1845" t="s">
        <v>702</v>
      </c>
      <c r="P9" s="1846"/>
      <c r="Q9" s="1068"/>
      <c r="R9" s="90">
        <v>1</v>
      </c>
      <c r="S9" s="998">
        <v>38614</v>
      </c>
      <c r="T9" s="998"/>
    </row>
    <row r="10" spans="1:21" ht="14.25" thickTop="1" thickBot="1" x14ac:dyDescent="0.25">
      <c r="G10" s="1877" t="s">
        <v>671</v>
      </c>
      <c r="H10" s="1878"/>
      <c r="I10" s="1068"/>
      <c r="K10" s="989" t="s">
        <v>672</v>
      </c>
      <c r="L10" s="90">
        <v>1</v>
      </c>
      <c r="M10" s="998">
        <v>38660</v>
      </c>
      <c r="N10" s="998"/>
      <c r="O10" s="1869" t="s">
        <v>703</v>
      </c>
      <c r="P10" s="1870"/>
      <c r="Q10" s="1068"/>
      <c r="R10" s="90">
        <v>1</v>
      </c>
      <c r="S10" s="998">
        <v>38749</v>
      </c>
      <c r="T10" s="998"/>
    </row>
    <row r="11" spans="1:21" ht="14.25" thickTop="1" thickBot="1" x14ac:dyDescent="0.25">
      <c r="G11" s="1879" t="s">
        <v>1036</v>
      </c>
      <c r="H11" s="1880"/>
      <c r="J11" s="90">
        <v>0.5</v>
      </c>
      <c r="K11" s="278" t="s">
        <v>245</v>
      </c>
      <c r="L11" s="90">
        <v>1</v>
      </c>
      <c r="M11" s="1062">
        <v>42051</v>
      </c>
      <c r="N11" s="998"/>
      <c r="O11" s="1277" t="s">
        <v>704</v>
      </c>
      <c r="P11" s="1278"/>
      <c r="Q11" s="1068"/>
      <c r="R11" s="90">
        <v>1</v>
      </c>
      <c r="S11" s="998">
        <v>38755</v>
      </c>
      <c r="T11" s="998"/>
    </row>
    <row r="12" spans="1:21" ht="14.25" thickTop="1" thickBot="1" x14ac:dyDescent="0.25">
      <c r="G12" s="1881" t="s">
        <v>1034</v>
      </c>
      <c r="H12" s="1882"/>
      <c r="J12" s="90">
        <v>0.75</v>
      </c>
      <c r="K12" s="278" t="s">
        <v>1035</v>
      </c>
      <c r="L12" s="90">
        <v>1</v>
      </c>
      <c r="M12" s="1062">
        <v>42044</v>
      </c>
      <c r="N12" s="1225"/>
      <c r="O12" s="1869" t="s">
        <v>705</v>
      </c>
      <c r="P12" s="1870"/>
      <c r="Q12" s="1068"/>
      <c r="R12" s="90">
        <v>1</v>
      </c>
      <c r="S12" s="998">
        <v>39769</v>
      </c>
      <c r="T12" s="998"/>
    </row>
    <row r="13" spans="1:21" ht="14.25" thickTop="1" thickBot="1" x14ac:dyDescent="0.25">
      <c r="G13" s="1873" t="s">
        <v>1070</v>
      </c>
      <c r="H13" s="1874"/>
      <c r="K13" s="278"/>
      <c r="L13" s="90">
        <v>1</v>
      </c>
      <c r="M13" s="1062">
        <v>42011</v>
      </c>
      <c r="N13" s="1225">
        <v>42069</v>
      </c>
      <c r="O13" s="1275" t="s">
        <v>706</v>
      </c>
      <c r="P13" s="1276"/>
      <c r="Q13" s="90">
        <v>0.77</v>
      </c>
      <c r="R13" s="90">
        <v>1</v>
      </c>
      <c r="S13" s="998">
        <v>41311</v>
      </c>
      <c r="T13" s="998"/>
      <c r="U13" s="90">
        <v>0.9</v>
      </c>
    </row>
    <row r="14" spans="1:21" ht="14.25" thickTop="1" thickBot="1" x14ac:dyDescent="0.25">
      <c r="A14" s="1226"/>
      <c r="B14" s="1883" t="s">
        <v>30</v>
      </c>
      <c r="C14" s="1849"/>
      <c r="G14" s="1875"/>
      <c r="H14" s="1876"/>
      <c r="K14" s="278"/>
      <c r="L14" s="278"/>
      <c r="M14" s="1062"/>
      <c r="N14" s="1225"/>
      <c r="O14" s="1843" t="s">
        <v>746</v>
      </c>
      <c r="P14" s="1844"/>
      <c r="Q14" s="90">
        <v>0.71</v>
      </c>
      <c r="R14" s="90">
        <v>1</v>
      </c>
      <c r="S14" s="998">
        <v>41652</v>
      </c>
      <c r="T14" s="998">
        <v>42350</v>
      </c>
      <c r="U14" s="90">
        <v>0.38</v>
      </c>
    </row>
    <row r="15" spans="1:21" ht="16.5" customHeight="1" thickTop="1" thickBot="1" x14ac:dyDescent="0.25">
      <c r="G15" s="1845" t="s">
        <v>895</v>
      </c>
      <c r="H15" s="1846"/>
      <c r="K15" s="278" t="s">
        <v>236</v>
      </c>
      <c r="L15" s="90">
        <v>1</v>
      </c>
      <c r="M15" s="1062">
        <v>41610</v>
      </c>
      <c r="N15" s="1225"/>
      <c r="O15" s="1843" t="s">
        <v>747</v>
      </c>
      <c r="P15" s="1844"/>
      <c r="Q15" s="90">
        <v>0.71</v>
      </c>
      <c r="R15" s="90">
        <v>1</v>
      </c>
      <c r="S15" s="998">
        <v>41652</v>
      </c>
      <c r="T15" s="998">
        <v>42350</v>
      </c>
      <c r="U15" s="90">
        <v>0.38</v>
      </c>
    </row>
    <row r="16" spans="1:21" ht="16.5" customHeight="1" thickTop="1" thickBot="1" x14ac:dyDescent="0.25">
      <c r="A16" s="1227"/>
      <c r="B16" s="1861" t="s">
        <v>813</v>
      </c>
      <c r="C16" s="1849"/>
      <c r="G16" s="1842"/>
      <c r="H16" s="1842"/>
      <c r="I16" s="1068"/>
      <c r="K16" s="278"/>
      <c r="L16" s="278"/>
      <c r="M16" s="278"/>
      <c r="O16" s="1843" t="s">
        <v>774</v>
      </c>
      <c r="P16" s="1844"/>
      <c r="R16" s="90">
        <v>1</v>
      </c>
      <c r="S16" s="998">
        <v>41792</v>
      </c>
      <c r="T16" s="998"/>
    </row>
    <row r="17" spans="1:21" ht="14.25" thickTop="1" thickBot="1" x14ac:dyDescent="0.25">
      <c r="G17" s="1842"/>
      <c r="H17" s="1842"/>
      <c r="I17" s="1068"/>
      <c r="K17" s="278"/>
      <c r="M17" s="1062"/>
      <c r="N17" s="1225"/>
      <c r="O17" s="1843" t="s">
        <v>775</v>
      </c>
      <c r="P17" s="1844"/>
      <c r="Q17" s="1134">
        <v>0.62</v>
      </c>
      <c r="R17" s="90">
        <v>1</v>
      </c>
      <c r="S17" s="998">
        <v>41773</v>
      </c>
      <c r="T17" s="998"/>
    </row>
    <row r="18" spans="1:21" ht="14.25" thickTop="1" thickBot="1" x14ac:dyDescent="0.25">
      <c r="A18" s="1228"/>
      <c r="B18" s="1849" t="s">
        <v>814</v>
      </c>
      <c r="C18" s="1849"/>
      <c r="D18" s="1849"/>
      <c r="G18" s="1842"/>
      <c r="H18" s="1842"/>
      <c r="K18" s="278"/>
      <c r="M18" s="1062"/>
      <c r="O18" s="1851" t="s">
        <v>1071</v>
      </c>
      <c r="P18" s="1852"/>
      <c r="Q18" s="1134">
        <v>0.15</v>
      </c>
      <c r="R18" s="90">
        <v>1</v>
      </c>
      <c r="S18" s="998">
        <v>42334</v>
      </c>
      <c r="T18" s="998"/>
    </row>
    <row r="19" spans="1:21" ht="14.25" thickTop="1" thickBot="1" x14ac:dyDescent="0.25">
      <c r="G19" s="277"/>
      <c r="K19" s="278"/>
      <c r="L19" s="278"/>
      <c r="M19" s="278"/>
      <c r="O19" s="1843" t="s">
        <v>889</v>
      </c>
      <c r="P19" s="1844"/>
      <c r="Q19" s="90">
        <v>0.5</v>
      </c>
      <c r="R19" s="90">
        <v>1</v>
      </c>
      <c r="S19" s="998">
        <v>41380</v>
      </c>
      <c r="T19" s="998">
        <v>42079</v>
      </c>
      <c r="U19" s="90">
        <v>0.55000000000000004</v>
      </c>
    </row>
    <row r="20" spans="1:21" ht="14.25" thickTop="1" thickBot="1" x14ac:dyDescent="0.25">
      <c r="A20" s="1229"/>
      <c r="B20" s="1848" t="s">
        <v>815</v>
      </c>
      <c r="C20" s="1849"/>
      <c r="G20" s="277"/>
      <c r="K20" s="278"/>
      <c r="L20" s="278"/>
      <c r="M20" s="278"/>
      <c r="O20" s="1843" t="s">
        <v>890</v>
      </c>
      <c r="P20" s="1844"/>
      <c r="Q20" s="1280">
        <v>0.85</v>
      </c>
      <c r="R20" s="149">
        <v>1</v>
      </c>
      <c r="S20" s="1279">
        <v>41431</v>
      </c>
      <c r="T20" s="1279">
        <v>42129</v>
      </c>
    </row>
    <row r="21" spans="1:21" ht="14.25" thickTop="1" thickBot="1" x14ac:dyDescent="0.25">
      <c r="G21" s="277"/>
      <c r="K21" s="278"/>
      <c r="L21" s="278"/>
      <c r="M21" s="278"/>
      <c r="O21" s="1843" t="s">
        <v>896</v>
      </c>
      <c r="P21" s="1844"/>
      <c r="Q21" s="149">
        <v>0.78</v>
      </c>
      <c r="R21" s="149">
        <v>1</v>
      </c>
      <c r="S21" s="1279">
        <v>41463</v>
      </c>
      <c r="T21" s="1279">
        <v>42162</v>
      </c>
      <c r="U21" s="90">
        <v>0.23</v>
      </c>
    </row>
    <row r="22" spans="1:21" ht="14.25" thickTop="1" thickBot="1" x14ac:dyDescent="0.25">
      <c r="G22" s="277"/>
      <c r="K22" s="278"/>
      <c r="L22" s="278"/>
      <c r="M22" s="278"/>
      <c r="O22" s="1843" t="s">
        <v>890</v>
      </c>
      <c r="P22" s="1844"/>
      <c r="Q22" s="149"/>
      <c r="R22" s="149">
        <v>1</v>
      </c>
      <c r="S22" s="1279">
        <v>42339</v>
      </c>
      <c r="T22" s="1279"/>
    </row>
    <row r="23" spans="1:21" ht="14.25" thickTop="1" thickBot="1" x14ac:dyDescent="0.25">
      <c r="G23" s="277"/>
      <c r="K23" s="278"/>
      <c r="L23" s="278"/>
      <c r="M23" s="278"/>
      <c r="O23" s="1843" t="s">
        <v>897</v>
      </c>
      <c r="P23" s="1844"/>
      <c r="Q23" s="90">
        <v>0.24</v>
      </c>
      <c r="R23" s="90">
        <v>1</v>
      </c>
      <c r="S23" s="998">
        <v>41512</v>
      </c>
      <c r="T23" s="998">
        <v>42209</v>
      </c>
      <c r="U23" s="90">
        <v>0.79</v>
      </c>
    </row>
    <row r="24" spans="1:21" ht="14.25" thickTop="1" thickBot="1" x14ac:dyDescent="0.25">
      <c r="G24" s="277"/>
      <c r="K24" s="278"/>
      <c r="L24" s="278"/>
      <c r="M24" s="278"/>
      <c r="O24" s="1843"/>
      <c r="P24" s="1844"/>
      <c r="Q24" s="1134"/>
      <c r="S24" s="998"/>
      <c r="T24" s="998"/>
    </row>
    <row r="25" spans="1:21" ht="14.25" thickTop="1" thickBot="1" x14ac:dyDescent="0.25">
      <c r="G25" s="277"/>
      <c r="K25" s="278"/>
      <c r="L25" s="278"/>
      <c r="M25" s="278"/>
      <c r="O25" s="1855"/>
      <c r="P25" s="1856"/>
      <c r="Q25" s="1134"/>
      <c r="S25" s="998"/>
      <c r="T25" s="998"/>
      <c r="U25" s="1134"/>
    </row>
    <row r="26" spans="1:21" ht="14.25" thickTop="1" thickBot="1" x14ac:dyDescent="0.25">
      <c r="G26" s="277"/>
      <c r="K26" s="278"/>
      <c r="L26" s="278"/>
      <c r="M26" s="278"/>
      <c r="O26" s="1855" t="s">
        <v>1008</v>
      </c>
      <c r="P26" s="1856"/>
      <c r="Q26" s="1134">
        <v>0.67</v>
      </c>
      <c r="R26" s="90">
        <v>1</v>
      </c>
      <c r="S26" s="998">
        <v>41772</v>
      </c>
      <c r="T26" s="998"/>
    </row>
    <row r="27" spans="1:21" ht="14.25" thickTop="1" thickBot="1" x14ac:dyDescent="0.25">
      <c r="G27" s="277"/>
      <c r="K27" s="278"/>
      <c r="L27" s="278"/>
      <c r="M27" s="278"/>
      <c r="O27" s="1855" t="s">
        <v>1009</v>
      </c>
      <c r="P27" s="1856"/>
      <c r="Q27" s="1134">
        <v>0.28999999999999998</v>
      </c>
      <c r="R27" s="90">
        <v>1</v>
      </c>
      <c r="S27" s="998">
        <v>41813</v>
      </c>
      <c r="T27" s="998">
        <v>42338</v>
      </c>
    </row>
    <row r="28" spans="1:21" ht="14.25" thickTop="1" thickBot="1" x14ac:dyDescent="0.25">
      <c r="G28" s="277"/>
      <c r="K28" s="278"/>
      <c r="L28" s="278"/>
      <c r="M28" s="278"/>
      <c r="O28" s="1855" t="s">
        <v>1010</v>
      </c>
      <c r="P28" s="1856"/>
      <c r="Q28" s="1134">
        <v>0.91</v>
      </c>
      <c r="R28" s="90">
        <v>1</v>
      </c>
      <c r="S28" s="998">
        <v>41765</v>
      </c>
      <c r="T28" s="998"/>
    </row>
    <row r="29" spans="1:21" ht="14.25" thickTop="1" thickBot="1" x14ac:dyDescent="0.25">
      <c r="G29" s="277"/>
      <c r="K29" s="278"/>
      <c r="L29" s="278"/>
      <c r="M29" s="278"/>
      <c r="O29" s="1855" t="s">
        <v>798</v>
      </c>
      <c r="P29" s="1856"/>
      <c r="Q29" s="1134"/>
      <c r="R29" s="90">
        <v>1</v>
      </c>
      <c r="S29" s="998">
        <v>41883</v>
      </c>
      <c r="T29" s="998"/>
    </row>
    <row r="30" spans="1:21" ht="14.25" thickTop="1" thickBot="1" x14ac:dyDescent="0.25">
      <c r="G30" s="277"/>
      <c r="K30" s="278"/>
      <c r="L30" s="278"/>
      <c r="M30" s="278"/>
      <c r="O30" s="1855" t="s">
        <v>1011</v>
      </c>
      <c r="P30" s="1856"/>
      <c r="Q30" s="1134">
        <v>0.55000000000000004</v>
      </c>
      <c r="R30" s="90">
        <v>1</v>
      </c>
      <c r="S30" s="998">
        <v>41897</v>
      </c>
      <c r="T30" s="998">
        <v>42094</v>
      </c>
    </row>
    <row r="31" spans="1:21" ht="14.25" thickTop="1" thickBot="1" x14ac:dyDescent="0.25">
      <c r="G31" s="277"/>
      <c r="K31" s="278"/>
      <c r="L31" s="278"/>
      <c r="M31" s="278"/>
      <c r="O31" s="1855" t="s">
        <v>1012</v>
      </c>
      <c r="P31" s="1856"/>
      <c r="Q31" s="1134">
        <v>0.39</v>
      </c>
      <c r="R31" s="90">
        <v>1</v>
      </c>
      <c r="S31" s="998">
        <v>41933</v>
      </c>
      <c r="T31" s="998"/>
    </row>
    <row r="32" spans="1:21" ht="13.5" thickTop="1" x14ac:dyDescent="0.2">
      <c r="G32" s="277"/>
      <c r="K32" s="278"/>
      <c r="L32" s="278"/>
      <c r="M32" s="278"/>
      <c r="O32" s="1830"/>
      <c r="P32" s="1830"/>
      <c r="Q32" s="1134"/>
      <c r="S32" s="998"/>
      <c r="T32" s="998"/>
    </row>
    <row r="33" spans="1:21" x14ac:dyDescent="0.2">
      <c r="G33" s="277"/>
      <c r="K33" s="278"/>
      <c r="L33" s="278"/>
      <c r="M33" s="278"/>
      <c r="O33" s="988"/>
      <c r="P33" s="988"/>
      <c r="Q33" s="988"/>
    </row>
    <row r="34" spans="1:21" ht="13.5" thickBot="1" x14ac:dyDescent="0.25">
      <c r="G34" s="277"/>
      <c r="K34" s="278"/>
      <c r="L34" s="278"/>
      <c r="M34" s="278"/>
      <c r="O34" s="1866" t="s">
        <v>710</v>
      </c>
      <c r="P34" s="1867"/>
      <c r="Q34" s="1867"/>
    </row>
    <row r="35" spans="1:21" ht="14.25" thickTop="1" thickBot="1" x14ac:dyDescent="0.25">
      <c r="G35" s="277"/>
      <c r="K35" s="278"/>
      <c r="L35" s="278"/>
      <c r="M35" s="278"/>
      <c r="O35" s="1853" t="s">
        <v>1037</v>
      </c>
      <c r="P35" s="1854"/>
      <c r="Q35" s="1134">
        <v>0.38</v>
      </c>
      <c r="R35" s="1271">
        <v>0.5</v>
      </c>
      <c r="S35" s="1273">
        <v>42135</v>
      </c>
      <c r="T35" s="1273"/>
      <c r="U35" s="1271"/>
    </row>
    <row r="36" spans="1:21" ht="14.25" thickTop="1" thickBot="1" x14ac:dyDescent="0.25">
      <c r="G36" s="277"/>
      <c r="K36" s="278"/>
      <c r="L36" s="278"/>
      <c r="M36" s="278"/>
      <c r="O36" s="1853" t="s">
        <v>1038</v>
      </c>
      <c r="P36" s="1854"/>
      <c r="Q36" s="1134">
        <v>0.75</v>
      </c>
      <c r="R36" s="1271">
        <v>1</v>
      </c>
      <c r="S36" s="1273">
        <v>42135</v>
      </c>
      <c r="T36" s="1273"/>
      <c r="U36" s="1271"/>
    </row>
    <row r="37" spans="1:21" ht="14.25" thickTop="1" thickBot="1" x14ac:dyDescent="0.25">
      <c r="G37" s="277"/>
      <c r="K37" s="278"/>
      <c r="L37" s="278"/>
      <c r="M37" s="278"/>
      <c r="O37" s="1853" t="s">
        <v>1039</v>
      </c>
      <c r="P37" s="1854"/>
      <c r="Q37" s="1134">
        <v>0.25</v>
      </c>
      <c r="R37" s="1271">
        <v>1</v>
      </c>
      <c r="S37" s="1273">
        <v>42149</v>
      </c>
      <c r="T37" s="1273"/>
      <c r="U37" s="1271"/>
    </row>
    <row r="38" spans="1:21" ht="14.25" thickTop="1" thickBot="1" x14ac:dyDescent="0.25">
      <c r="G38" s="277"/>
      <c r="K38" s="278"/>
      <c r="L38" s="278"/>
      <c r="M38" s="278"/>
      <c r="O38" s="1853" t="s">
        <v>1040</v>
      </c>
      <c r="P38" s="1854"/>
      <c r="Q38" s="1134">
        <v>0.25</v>
      </c>
      <c r="R38" s="1271">
        <v>1</v>
      </c>
      <c r="S38" s="1273">
        <v>42149</v>
      </c>
      <c r="T38" s="1274"/>
      <c r="U38" s="1271"/>
    </row>
    <row r="39" spans="1:21" ht="14.25" thickTop="1" thickBot="1" x14ac:dyDescent="0.25">
      <c r="G39" s="277"/>
      <c r="K39" s="278"/>
      <c r="L39" s="278"/>
      <c r="M39" s="278"/>
      <c r="O39" s="1853" t="s">
        <v>1062</v>
      </c>
      <c r="P39" s="1854"/>
      <c r="Q39" s="1134">
        <v>0.77300000000000002</v>
      </c>
      <c r="R39" s="1271">
        <v>1</v>
      </c>
      <c r="S39" s="1273">
        <v>42163</v>
      </c>
      <c r="T39" s="1274"/>
      <c r="U39" s="1271"/>
    </row>
    <row r="40" spans="1:21" ht="14.25" thickTop="1" thickBot="1" x14ac:dyDescent="0.25">
      <c r="G40" s="277"/>
      <c r="K40" s="278"/>
      <c r="L40" s="278"/>
      <c r="M40" s="278"/>
      <c r="O40" s="1853" t="s">
        <v>1063</v>
      </c>
      <c r="P40" s="1854"/>
      <c r="Q40" s="1134">
        <v>0.18</v>
      </c>
      <c r="R40" s="1271">
        <v>1</v>
      </c>
      <c r="S40" s="1273">
        <v>42180</v>
      </c>
      <c r="T40" s="1274">
        <v>42356</v>
      </c>
      <c r="U40" s="1271">
        <v>0.62</v>
      </c>
    </row>
    <row r="41" spans="1:21" ht="14.25" thickTop="1" thickBot="1" x14ac:dyDescent="0.25">
      <c r="G41" s="277"/>
      <c r="K41" s="278"/>
      <c r="L41" s="278"/>
      <c r="M41" s="278"/>
      <c r="O41" s="1853" t="s">
        <v>1064</v>
      </c>
      <c r="P41" s="1854"/>
      <c r="Q41" s="1134">
        <v>0.18</v>
      </c>
      <c r="R41" s="1271">
        <v>1</v>
      </c>
      <c r="S41" s="1273">
        <v>42180</v>
      </c>
      <c r="T41" s="1274">
        <v>42299</v>
      </c>
      <c r="U41" s="1271">
        <v>0.72</v>
      </c>
    </row>
    <row r="42" spans="1:21" ht="14.25" thickTop="1" thickBot="1" x14ac:dyDescent="0.25">
      <c r="G42" s="277"/>
      <c r="K42" s="278"/>
      <c r="L42" s="278"/>
      <c r="M42" s="278"/>
      <c r="O42" s="1853" t="s">
        <v>1065</v>
      </c>
      <c r="P42" s="1854"/>
      <c r="Q42" s="1134">
        <v>0.87</v>
      </c>
      <c r="R42" s="1271">
        <v>1</v>
      </c>
      <c r="S42" s="1273">
        <v>42191</v>
      </c>
      <c r="T42" s="1274"/>
      <c r="U42" s="1271"/>
    </row>
    <row r="43" spans="1:21" ht="14.25" thickTop="1" thickBot="1" x14ac:dyDescent="0.25">
      <c r="G43" s="277"/>
      <c r="K43" s="278"/>
      <c r="L43" s="278"/>
      <c r="M43" s="278"/>
      <c r="O43" s="1853" t="s">
        <v>1066</v>
      </c>
      <c r="P43" s="1854"/>
      <c r="Q43" s="1134">
        <v>0.87</v>
      </c>
      <c r="R43" s="1271">
        <v>1</v>
      </c>
      <c r="S43" s="1273">
        <v>42191</v>
      </c>
      <c r="T43" s="1274">
        <v>42243</v>
      </c>
      <c r="U43" s="1271"/>
    </row>
    <row r="44" spans="1:21" ht="14.25" thickTop="1" thickBot="1" x14ac:dyDescent="0.25">
      <c r="G44" s="277"/>
      <c r="K44" s="278"/>
      <c r="L44" s="278"/>
      <c r="M44" s="278"/>
      <c r="O44" s="1853" t="s">
        <v>1067</v>
      </c>
      <c r="P44" s="1854"/>
      <c r="Q44" s="1134">
        <v>0.44</v>
      </c>
      <c r="R44" s="1271">
        <v>0.17</v>
      </c>
      <c r="S44" s="1273">
        <v>42205</v>
      </c>
      <c r="T44" s="1274">
        <v>42216</v>
      </c>
      <c r="U44" s="1271"/>
    </row>
    <row r="45" spans="1:21" ht="14.25" thickTop="1" thickBot="1" x14ac:dyDescent="0.25">
      <c r="G45" s="277"/>
      <c r="K45" s="278"/>
      <c r="L45" s="278"/>
      <c r="M45" s="278"/>
      <c r="O45" s="1853" t="s">
        <v>1068</v>
      </c>
      <c r="P45" s="1854"/>
      <c r="Q45" s="1134">
        <v>0.44</v>
      </c>
      <c r="R45" s="1271"/>
      <c r="S45" s="1273">
        <v>42205</v>
      </c>
      <c r="T45" s="1274">
        <v>42216</v>
      </c>
      <c r="U45" s="1271"/>
    </row>
    <row r="46" spans="1:21" ht="14.25" thickTop="1" thickBot="1" x14ac:dyDescent="0.25">
      <c r="G46" s="277"/>
      <c r="K46" s="278"/>
      <c r="L46" s="278"/>
      <c r="M46" s="278"/>
      <c r="O46" s="1862" t="s">
        <v>1067</v>
      </c>
      <c r="P46" s="1863"/>
      <c r="Q46" s="1068"/>
      <c r="R46" s="90">
        <v>1</v>
      </c>
      <c r="S46" s="1273">
        <v>42249</v>
      </c>
    </row>
    <row r="47" spans="1:21" ht="13.5" thickTop="1" x14ac:dyDescent="0.2">
      <c r="G47" s="277"/>
      <c r="K47" s="278"/>
      <c r="L47" s="278"/>
      <c r="M47" s="278"/>
    </row>
    <row r="48" spans="1:21" ht="15" x14ac:dyDescent="0.25">
      <c r="A48" s="1868" t="s">
        <v>694</v>
      </c>
      <c r="B48" s="1868"/>
      <c r="C48" s="1868"/>
      <c r="D48" s="1063"/>
      <c r="E48" s="997" t="s">
        <v>709</v>
      </c>
      <c r="F48" s="997" t="s">
        <v>708</v>
      </c>
      <c r="G48" s="1868" t="s">
        <v>693</v>
      </c>
      <c r="H48" s="1868"/>
      <c r="I48" s="1868"/>
      <c r="J48" s="1868"/>
      <c r="M48" s="999" t="s">
        <v>707</v>
      </c>
      <c r="N48" s="999" t="s">
        <v>708</v>
      </c>
      <c r="O48" s="1859" t="s">
        <v>818</v>
      </c>
      <c r="P48" s="1860"/>
      <c r="Q48" s="1860"/>
      <c r="S48" s="997" t="s">
        <v>707</v>
      </c>
      <c r="T48" s="997" t="s">
        <v>708</v>
      </c>
    </row>
    <row r="49" spans="1:21" ht="13.5" thickBot="1" x14ac:dyDescent="0.25">
      <c r="I49" s="997" t="s">
        <v>709</v>
      </c>
      <c r="J49" s="997" t="s">
        <v>708</v>
      </c>
    </row>
    <row r="50" spans="1:21" ht="19.5" customHeight="1" thickTop="1" thickBot="1" x14ac:dyDescent="0.25">
      <c r="A50" s="1847" t="s">
        <v>237</v>
      </c>
      <c r="B50" s="1847"/>
      <c r="C50" s="1847"/>
      <c r="D50" s="90">
        <v>1</v>
      </c>
      <c r="E50" s="998">
        <v>38336</v>
      </c>
      <c r="G50" s="1871" t="s">
        <v>1072</v>
      </c>
      <c r="H50" s="1872"/>
      <c r="I50" s="90">
        <v>0.28999999999999998</v>
      </c>
      <c r="K50" s="278" t="s">
        <v>236</v>
      </c>
      <c r="L50" s="90">
        <v>1</v>
      </c>
      <c r="M50" s="998">
        <v>42331</v>
      </c>
      <c r="N50" s="998"/>
      <c r="O50" s="1845"/>
      <c r="P50" s="1846"/>
      <c r="Q50" s="1248"/>
      <c r="S50" s="1062"/>
      <c r="T50" s="998"/>
    </row>
    <row r="51" spans="1:21" ht="14.25" thickTop="1" thickBot="1" x14ac:dyDescent="0.25">
      <c r="A51" s="1847" t="s">
        <v>240</v>
      </c>
      <c r="B51" s="1847"/>
      <c r="C51" s="1847"/>
      <c r="D51" s="90">
        <v>0.5</v>
      </c>
      <c r="E51" s="998">
        <v>38600</v>
      </c>
      <c r="G51" s="1845" t="s">
        <v>697</v>
      </c>
      <c r="H51" s="1846"/>
      <c r="I51" s="304"/>
      <c r="K51" s="278" t="s">
        <v>242</v>
      </c>
      <c r="L51" s="90">
        <v>1</v>
      </c>
      <c r="M51" s="998">
        <v>40378</v>
      </c>
      <c r="N51" s="998">
        <v>42338</v>
      </c>
      <c r="O51" s="1845" t="s">
        <v>898</v>
      </c>
      <c r="P51" s="1846"/>
      <c r="Q51" s="1271">
        <v>0.24</v>
      </c>
      <c r="R51" s="1271">
        <v>1</v>
      </c>
      <c r="S51" s="1272">
        <v>41512</v>
      </c>
      <c r="T51" s="1273"/>
      <c r="U51" s="1271"/>
    </row>
    <row r="52" spans="1:21" ht="14.25" thickTop="1" thickBot="1" x14ac:dyDescent="0.25">
      <c r="A52" s="1847" t="s">
        <v>419</v>
      </c>
      <c r="B52" s="1847"/>
      <c r="C52" s="1847"/>
      <c r="D52" s="90">
        <v>0.5</v>
      </c>
      <c r="E52" s="998">
        <v>39722</v>
      </c>
      <c r="G52" s="1845" t="s">
        <v>698</v>
      </c>
      <c r="H52" s="1846"/>
      <c r="I52" s="304"/>
      <c r="K52" s="278" t="s">
        <v>245</v>
      </c>
      <c r="L52" s="90">
        <v>1</v>
      </c>
      <c r="M52" s="998">
        <v>40360</v>
      </c>
      <c r="N52" s="998"/>
      <c r="O52" s="1864" t="s">
        <v>899</v>
      </c>
      <c r="P52" s="1865"/>
      <c r="Q52" s="1271">
        <v>0.17</v>
      </c>
      <c r="R52" s="1271">
        <v>1</v>
      </c>
      <c r="S52" s="1272">
        <v>41543</v>
      </c>
      <c r="T52" s="1273"/>
      <c r="U52" s="1271"/>
    </row>
    <row r="53" spans="1:21" ht="15.75" customHeight="1" thickTop="1" thickBot="1" x14ac:dyDescent="0.25">
      <c r="A53" s="1845" t="s">
        <v>243</v>
      </c>
      <c r="B53" s="1850"/>
      <c r="C53" s="1846"/>
      <c r="D53" s="90">
        <v>0.5</v>
      </c>
      <c r="E53" s="998">
        <v>38600</v>
      </c>
      <c r="G53" s="1845" t="s">
        <v>799</v>
      </c>
      <c r="H53" s="1846"/>
      <c r="K53" s="989" t="s">
        <v>236</v>
      </c>
      <c r="L53" s="90">
        <v>1</v>
      </c>
      <c r="M53" s="998">
        <v>41051</v>
      </c>
      <c r="N53" s="989"/>
      <c r="O53" s="1842"/>
      <c r="P53" s="1842"/>
      <c r="Q53" s="1271"/>
      <c r="R53" s="1271"/>
      <c r="S53" s="1272"/>
      <c r="T53" s="1273"/>
      <c r="U53" s="1271"/>
    </row>
    <row r="54" spans="1:21" ht="16.5" customHeight="1" thickTop="1" thickBot="1" x14ac:dyDescent="0.25">
      <c r="A54" s="1830"/>
      <c r="B54" s="1830"/>
      <c r="C54" s="1830"/>
      <c r="D54" s="1063"/>
      <c r="G54" s="1845" t="s">
        <v>816</v>
      </c>
      <c r="H54" s="1846"/>
      <c r="I54" s="1068"/>
      <c r="K54" s="989" t="s">
        <v>236</v>
      </c>
      <c r="L54" s="90">
        <v>1</v>
      </c>
      <c r="M54" s="998">
        <v>41120</v>
      </c>
      <c r="N54" s="998">
        <v>41486</v>
      </c>
      <c r="O54" s="1842"/>
      <c r="P54" s="1842"/>
      <c r="Q54" s="1271"/>
      <c r="R54" s="1271"/>
      <c r="S54" s="1272"/>
      <c r="T54" s="1273"/>
      <c r="U54" s="1271"/>
    </row>
    <row r="55" spans="1:21" ht="14.25" thickTop="1" thickBot="1" x14ac:dyDescent="0.25">
      <c r="G55" s="1845" t="s">
        <v>238</v>
      </c>
      <c r="H55" s="1846"/>
      <c r="I55" s="1248"/>
      <c r="K55" s="1064" t="s">
        <v>239</v>
      </c>
      <c r="L55" s="90">
        <v>1</v>
      </c>
      <c r="M55" s="998">
        <v>41275</v>
      </c>
      <c r="N55" s="1064"/>
      <c r="O55" s="1842"/>
      <c r="P55" s="1842"/>
      <c r="Q55" s="1271"/>
      <c r="R55" s="1271"/>
      <c r="S55" s="1272"/>
      <c r="T55" s="1273"/>
      <c r="U55" s="1271"/>
    </row>
    <row r="56" spans="1:21" ht="13.5" thickTop="1" x14ac:dyDescent="0.2">
      <c r="G56" s="1857"/>
      <c r="H56" s="1857"/>
      <c r="I56" s="1001"/>
      <c r="K56" s="1002"/>
      <c r="M56" s="998"/>
      <c r="N56" s="1002"/>
      <c r="O56" s="1842"/>
      <c r="P56" s="1842"/>
      <c r="Q56" s="1271"/>
      <c r="R56" s="1271"/>
      <c r="S56" s="1272"/>
      <c r="T56" s="1273"/>
      <c r="U56" s="1271"/>
    </row>
    <row r="57" spans="1:21" x14ac:dyDescent="0.2">
      <c r="A57" s="1858" t="s">
        <v>891</v>
      </c>
      <c r="B57" s="1858"/>
      <c r="C57" s="1858"/>
      <c r="G57" s="1230"/>
      <c r="H57" s="1230"/>
      <c r="I57" s="1230"/>
      <c r="K57" s="1064"/>
      <c r="M57" s="1064"/>
      <c r="N57" s="1064"/>
      <c r="O57" s="1231"/>
      <c r="P57" s="1231"/>
      <c r="S57" s="1000"/>
    </row>
    <row r="58" spans="1:21" ht="18.75" customHeight="1" x14ac:dyDescent="0.2">
      <c r="A58" s="1858"/>
      <c r="B58" s="1858"/>
      <c r="C58" s="1858"/>
      <c r="E58" s="997" t="s">
        <v>129</v>
      </c>
      <c r="F58" s="997">
        <v>0.94</v>
      </c>
      <c r="G58" s="1230"/>
      <c r="H58" s="1230"/>
      <c r="I58" s="1230"/>
      <c r="K58" s="1064"/>
      <c r="L58" s="1064"/>
      <c r="M58" s="1064"/>
      <c r="N58" s="1064"/>
      <c r="O58" s="1859" t="s">
        <v>888</v>
      </c>
      <c r="P58" s="1860"/>
      <c r="Q58" s="1860"/>
      <c r="S58" s="1000"/>
    </row>
    <row r="59" spans="1:21" x14ac:dyDescent="0.2">
      <c r="G59" s="1230"/>
      <c r="H59" s="1230"/>
      <c r="I59" s="1230"/>
      <c r="K59" s="1064"/>
      <c r="L59" s="1064"/>
      <c r="M59" s="1064"/>
      <c r="N59" s="1064"/>
      <c r="O59" s="1231"/>
      <c r="P59" s="1231"/>
      <c r="S59" s="1000"/>
    </row>
    <row r="60" spans="1:21" x14ac:dyDescent="0.2">
      <c r="G60" s="1001"/>
      <c r="H60" s="1001"/>
      <c r="I60" s="1001"/>
      <c r="K60" s="1002"/>
      <c r="L60" s="1064"/>
      <c r="M60" s="1002"/>
      <c r="N60" s="1002"/>
      <c r="O60" s="1067"/>
      <c r="P60" s="1067"/>
      <c r="Q60" s="1001"/>
      <c r="S60" s="1062"/>
    </row>
    <row r="61" spans="1:21" ht="13.5" thickBot="1" x14ac:dyDescent="0.25">
      <c r="O61" s="1830"/>
      <c r="P61" s="1830"/>
      <c r="Q61" s="1830"/>
      <c r="R61" s="1063"/>
    </row>
    <row r="62" spans="1:21" ht="24" customHeight="1" thickTop="1" thickBot="1" x14ac:dyDescent="0.25">
      <c r="A62" s="1841" t="s">
        <v>712</v>
      </c>
      <c r="B62" s="1841"/>
      <c r="C62" s="1841"/>
      <c r="D62" s="1069"/>
      <c r="E62" s="1003" t="s">
        <v>0</v>
      </c>
      <c r="F62" s="1232" t="s">
        <v>1</v>
      </c>
      <c r="G62" s="1003" t="s">
        <v>2</v>
      </c>
      <c r="H62" s="1003" t="s">
        <v>3</v>
      </c>
      <c r="I62" s="1003" t="s">
        <v>4</v>
      </c>
      <c r="J62" s="1003" t="s">
        <v>5</v>
      </c>
      <c r="K62" s="1003" t="s">
        <v>6</v>
      </c>
      <c r="L62" s="1003" t="s">
        <v>7</v>
      </c>
      <c r="M62" s="1232" t="s">
        <v>749</v>
      </c>
      <c r="N62" s="1003" t="s">
        <v>9</v>
      </c>
      <c r="O62" s="1232" t="s">
        <v>10</v>
      </c>
      <c r="P62" s="1070" t="s">
        <v>11</v>
      </c>
      <c r="Q62" s="1072"/>
      <c r="R62" s="1066"/>
    </row>
    <row r="63" spans="1:21" ht="14.25" thickTop="1" thickBot="1" x14ac:dyDescent="0.25">
      <c r="A63" s="1828" t="s">
        <v>29</v>
      </c>
      <c r="B63" s="1829"/>
      <c r="C63" s="1831"/>
      <c r="D63" s="1832"/>
      <c r="E63" s="1004">
        <f>$D$5+$D$6+$D$7+$D$8</f>
        <v>2.5</v>
      </c>
      <c r="F63" s="1004">
        <f t="shared" ref="F63:P63" si="0">$D$5+$D$6+$D$7+$D$8</f>
        <v>2.5</v>
      </c>
      <c r="G63" s="1004">
        <f t="shared" si="0"/>
        <v>2.5</v>
      </c>
      <c r="H63" s="1004">
        <f t="shared" si="0"/>
        <v>2.5</v>
      </c>
      <c r="I63" s="1004">
        <f t="shared" si="0"/>
        <v>2.5</v>
      </c>
      <c r="J63" s="1004">
        <f t="shared" si="0"/>
        <v>2.5</v>
      </c>
      <c r="K63" s="1004">
        <f t="shared" si="0"/>
        <v>2.5</v>
      </c>
      <c r="L63" s="1004">
        <f t="shared" si="0"/>
        <v>2.5</v>
      </c>
      <c r="M63" s="1004">
        <f t="shared" si="0"/>
        <v>2.5</v>
      </c>
      <c r="N63" s="1004">
        <f t="shared" si="0"/>
        <v>2.5</v>
      </c>
      <c r="O63" s="1004">
        <f t="shared" si="0"/>
        <v>2.5</v>
      </c>
      <c r="P63" s="1004">
        <f t="shared" si="0"/>
        <v>2.5</v>
      </c>
      <c r="Q63" s="1073"/>
      <c r="R63" s="1067"/>
    </row>
    <row r="64" spans="1:21" ht="14.25" thickTop="1" thickBot="1" x14ac:dyDescent="0.25">
      <c r="A64" s="1828" t="s">
        <v>713</v>
      </c>
      <c r="B64" s="1829"/>
      <c r="C64" s="1833"/>
      <c r="D64" s="1834"/>
      <c r="E64" s="1207">
        <f>$L$5+$L$6+$L$7+$L$8+$L$9+$L$10+$L$15+L13</f>
        <v>8</v>
      </c>
      <c r="F64" s="1207">
        <f>$L$5+$L$6+$L$7+$L$8+$L$9+$L$10+$L$15+$J$12+$J$11+L13</f>
        <v>9.25</v>
      </c>
      <c r="G64" s="1207">
        <f t="shared" ref="G64:M64" si="1">$L$5+$L$6+$L$7+$L$8+$L$9+$L$10+$L$15+$L$11+$L$12</f>
        <v>9</v>
      </c>
      <c r="H64" s="1207">
        <f t="shared" si="1"/>
        <v>9</v>
      </c>
      <c r="I64" s="1207">
        <f t="shared" si="1"/>
        <v>9</v>
      </c>
      <c r="J64" s="1207">
        <f t="shared" si="1"/>
        <v>9</v>
      </c>
      <c r="K64" s="1207">
        <f t="shared" si="1"/>
        <v>9</v>
      </c>
      <c r="L64" s="1207">
        <f t="shared" si="1"/>
        <v>9</v>
      </c>
      <c r="M64" s="1207">
        <f t="shared" si="1"/>
        <v>9</v>
      </c>
      <c r="N64" s="1207">
        <f t="shared" ref="N64:O64" si="2">$L$5+$L$6+$L$7+$L$8+$L$9+$L$10+$L$15+$L$11+$L$12</f>
        <v>9</v>
      </c>
      <c r="O64" s="1207">
        <f t="shared" si="2"/>
        <v>9</v>
      </c>
      <c r="P64" s="1207">
        <f>$L$5+$L$6+$L$7+$L$8+$L$9+$L$10+$L$15+$L$11+$L$12</f>
        <v>9</v>
      </c>
      <c r="Q64" s="1073"/>
      <c r="R64" s="1067"/>
    </row>
    <row r="65" spans="1:18" ht="14.25" thickTop="1" thickBot="1" x14ac:dyDescent="0.25">
      <c r="A65" s="1828" t="s">
        <v>714</v>
      </c>
      <c r="B65" s="1829"/>
      <c r="C65" s="1833"/>
      <c r="D65" s="1834"/>
      <c r="E65" s="1282">
        <f>$R$5+$R$6+$R$7+$R$8+$R$9+$R$10+$R$11+$R$12+$R$19+$R$13+$R$20+$R$21+$R$23+$R$14+$R$15+$R$16+$R$17+$R$26+$R$27+$R$28+$R$29+$R$30+$R$31</f>
        <v>22.5</v>
      </c>
      <c r="F65" s="1282">
        <f>$R$5+$R$6+$R$7+$R$8+$R$9+$R$10+$R$11+$R$12+$R$19+$R$13+$R$20+$R$21+$R$23+$R$14+$R$15+$R$16+$R$17+$R$26+$R$27+$R$28+$R$29+$R$30+$R$31</f>
        <v>22.5</v>
      </c>
      <c r="G65" s="1282">
        <f>$R$5+$R$6+$R$7+$R$8+$R$9+$R$10+$R$11+$R$12+$U$19+$R$13+$R$20+$R$21+$R$23+$R$14+$R$15+$R$16+$R$17+$R$26+$R$27+$R$28+$R$29+$R$30+$R$31</f>
        <v>22.05</v>
      </c>
      <c r="H65" s="1282">
        <f>$R$5+$R$6+$R$7+$R$8+$R$9+$R$10+$R$11+$R$12+$R$13+$R$20+$R$21+$R$23+$R$14+$R$15+$R$16+$R$17+$R$26+$R$27+$R$28+$R$29+$R$31</f>
        <v>20.5</v>
      </c>
      <c r="I65" s="1282">
        <f>$R$5+$R$6+$R$7+$R$8+$R$9+$R$10+$R$11+$R$12+$R$13+$R$21+$R$23+$R$14+$R$15+$R$16+$R$17+$R$26+$R$27+$R$28+$R$29+$R$31+Q35+Q36+Q37+Q38</f>
        <v>21.13</v>
      </c>
      <c r="J65" s="1282">
        <f>$R$5+$R$6+$R$7+$R$8+$R$9+$R$10+$R$11+$R$12+$R$13+$U$21+$R$23+$R$14+$R$15+$R$16+$R$17+$R$26+$R$27+$R$28+$R$29+$R$31+R35+R36+R37+R38+Q39+Q40+Q41</f>
        <v>23.363</v>
      </c>
      <c r="K65" s="1282">
        <f>$R$5+$R$6+$R$7+$R$8+$R$9+$R$10+$R$11+$R$12+$R$13+$U$23+$R$14+$R$15+$R$16+$R$17+$R$26+$R$27+$R$28+$R$29+$R$31+$R$35+$R$36+$R$37+$R$38+$R$40+$R$41+$Q$42+$Q$43+$Q$44+$Q$45+$R$44</f>
        <v>26.580000000000005</v>
      </c>
      <c r="L65" s="1282">
        <f>$R$5+$R$6+$R$7+$R$8+$R$9+$R$10+$R$11+$R$12+$R$13+$R$14+$R$15+$R$16+$R$17+$R$26+$R$27+$R$28+$R$29+$R$31+$R$35+$R$36+$R$37+$R$38+$R$40+$R$41+$R$42+$R$43+$R$39</f>
        <v>26</v>
      </c>
      <c r="M65" s="1282">
        <f>$R$5+$R$6+$R$7+$R$8+$R$9+$R$10+$R$11+$R$12+$R$13+$R$14+$R$15+$R$16+$R$17+$R$26+$R$27+$R$28+$R$29+$R$31+$R$35+$R$36+$R$37+$R$38+$R$40+$R$41+$R$42+$R$43+$R$39+$R$46</f>
        <v>27</v>
      </c>
      <c r="N65" s="1282">
        <f>$R$5+$R$6+$R$7+$R$8+$R$9+$R$10+$R$11+$R$12+$R$13+$R$14+$R$15+$R$16+$R$17+$R$26+$R$27+$R$28+$R$29+$R$31+$R$35+$R$36+$R$37+$R$38+$R$40+$U$41+$R$42+$R$43+$R$39+$R$46</f>
        <v>26.72</v>
      </c>
      <c r="O65" s="1282">
        <f>$R$5+$R$6+$R$7+$R$8+$R$9+$R$10+$R$11+$R$12+$R$13+$R$14+$R$15+$R$16+$R$17+$R$26+$R$27+$R$28+$R$29+$R$31+$R$35+$R$36+$R$37+$R$38+$R$40+$R$42+$R$43+$R$39+$R$46+$Q$18</f>
        <v>26.15</v>
      </c>
      <c r="P65" s="1282">
        <f>$R$5+$R$6+$R$7+$R$8+$R$9+$R$10+$R$11+$R$12+$R$13+$U$14+$U$15+$R$16+$R$17+$R$26+$R$28+$R$29+$R$31+$R$35+$R$36+$R$37+$R$38+$U$40+$R$42+$R$43+$R$39+$R$46+$R$18+$R$22</f>
        <v>25.380000000000003</v>
      </c>
      <c r="Q65" s="1073"/>
      <c r="R65" s="1067"/>
    </row>
    <row r="66" spans="1:18" ht="14.25" thickTop="1" thickBot="1" x14ac:dyDescent="0.25">
      <c r="A66" s="1837"/>
      <c r="B66" s="1838"/>
      <c r="C66" s="1833"/>
      <c r="D66" s="1834"/>
      <c r="E66" s="1006"/>
      <c r="F66" s="1007"/>
      <c r="G66" s="1007"/>
      <c r="H66" s="1007"/>
      <c r="I66" s="1007"/>
      <c r="J66" s="1007"/>
      <c r="K66" s="1007"/>
      <c r="L66" s="1065"/>
      <c r="M66" s="1007"/>
      <c r="N66" s="1007"/>
      <c r="O66" s="1008"/>
      <c r="P66" s="1071"/>
      <c r="Q66" s="1073"/>
      <c r="R66" s="1076"/>
    </row>
    <row r="67" spans="1:18" ht="14.25" thickTop="1" thickBot="1" x14ac:dyDescent="0.25">
      <c r="A67" s="1839" t="s">
        <v>715</v>
      </c>
      <c r="B67" s="1840"/>
      <c r="C67" s="1833"/>
      <c r="D67" s="1834"/>
      <c r="E67" s="1010">
        <f>SUM(E63:E65)</f>
        <v>33</v>
      </c>
      <c r="F67" s="1011">
        <f t="shared" ref="F67:O67" si="3">SUM(F63:F66)</f>
        <v>34.25</v>
      </c>
      <c r="G67" s="1011">
        <f t="shared" si="3"/>
        <v>33.549999999999997</v>
      </c>
      <c r="H67" s="1436">
        <f t="shared" si="3"/>
        <v>32</v>
      </c>
      <c r="I67" s="1011">
        <f t="shared" si="3"/>
        <v>32.629999999999995</v>
      </c>
      <c r="J67" s="1445">
        <f t="shared" si="3"/>
        <v>34.863</v>
      </c>
      <c r="K67" s="1011">
        <f t="shared" si="3"/>
        <v>38.080000000000005</v>
      </c>
      <c r="L67" s="1011">
        <f t="shared" si="3"/>
        <v>37.5</v>
      </c>
      <c r="M67" s="1011">
        <f t="shared" si="3"/>
        <v>38.5</v>
      </c>
      <c r="N67" s="1011">
        <f t="shared" si="3"/>
        <v>38.22</v>
      </c>
      <c r="O67" s="1011">
        <f t="shared" si="3"/>
        <v>37.65</v>
      </c>
      <c r="P67" s="1011">
        <f>SUM(P63:P66)</f>
        <v>36.880000000000003</v>
      </c>
      <c r="Q67" s="1074"/>
      <c r="R67" s="237"/>
    </row>
    <row r="68" spans="1:18" ht="14.25" thickTop="1" thickBot="1" x14ac:dyDescent="0.25">
      <c r="A68" s="1828" t="s">
        <v>717</v>
      </c>
      <c r="B68" s="1829"/>
      <c r="C68" s="1833"/>
      <c r="D68" s="1834"/>
      <c r="E68" s="1004">
        <f>$D$5+$D$6+$D$7+$D$8+$L$5+$L$6+$L$7+$L$8+$L$9+$L$10+$R$5+$R$6+$R$7+$R$8+$R$9+$R$10+$R$11+$R$12+$R$13+$L$15</f>
        <v>18</v>
      </c>
      <c r="F68" s="1004">
        <f>$D$5+$D$6+$D$7+$D$8+$L$5+$L$6+$L$7+$L$8+$L$9+$L$10+$R$5+$R$6+$R$7+$R$8+$R$9+$R$10+$R$11+$R$12+$R$13+$L$15+J11+J12</f>
        <v>19.25</v>
      </c>
      <c r="G68" s="1435">
        <f t="shared" ref="G68:P68" si="4">$D$5+$D$6+$D$7+$D$8+$L$5+$L$6+$L$7+$L$8+$L$9+$L$10+$R$5+$R$6+$R$7+$R$8+$R$9+$R$10+$R$11+$R$12+$R$13+$L$15+$L$12+$L$13</f>
        <v>20</v>
      </c>
      <c r="H68" s="1435">
        <f t="shared" si="4"/>
        <v>20</v>
      </c>
      <c r="I68" s="1435">
        <f t="shared" si="4"/>
        <v>20</v>
      </c>
      <c r="J68" s="1435">
        <f t="shared" si="4"/>
        <v>20</v>
      </c>
      <c r="K68" s="1435">
        <f t="shared" si="4"/>
        <v>20</v>
      </c>
      <c r="L68" s="1435">
        <f t="shared" si="4"/>
        <v>20</v>
      </c>
      <c r="M68" s="1435">
        <f t="shared" si="4"/>
        <v>20</v>
      </c>
      <c r="N68" s="1435">
        <f t="shared" si="4"/>
        <v>20</v>
      </c>
      <c r="O68" s="1435">
        <f t="shared" si="4"/>
        <v>20</v>
      </c>
      <c r="P68" s="1435">
        <f t="shared" si="4"/>
        <v>20</v>
      </c>
      <c r="Q68" s="1073"/>
      <c r="R68" s="1067"/>
    </row>
    <row r="69" spans="1:18" ht="14.25" thickTop="1" thickBot="1" x14ac:dyDescent="0.25">
      <c r="A69" s="1828" t="s">
        <v>718</v>
      </c>
      <c r="B69" s="1829"/>
      <c r="C69" s="1833"/>
      <c r="D69" s="1834"/>
      <c r="E69" s="1233">
        <f>$R$19+$R$20+$R$21+$R$23+$R$14+$R$15+$R$16+$R$17+$R$26+$R$27+$R$28+$R$29+$R$30+$R$31+L13</f>
        <v>15</v>
      </c>
      <c r="F69" s="1233">
        <f>$R$19+$R$20+$R$21+$R$23+$R$14+$R$15+$R$16+$R$17+$R$26+$R$27+$R$28+$R$29+$R$30+$R$31+L13</f>
        <v>15</v>
      </c>
      <c r="G69" s="1233">
        <f>$U$19+$R$20+$R$21+$R$23+$R$14+$R$15+$R$16+$R$17+$R$26+$R$27+$R$28+$R$29+$R$30+$R$31</f>
        <v>13.55</v>
      </c>
      <c r="H69" s="1233">
        <f>$R$20+$R$21+$R$23+$R$14+$R$15+$R$16+$R$17+$R$26+$R$27+$R$28+$R$29+$R$31</f>
        <v>12</v>
      </c>
      <c r="I69" s="1233">
        <f>$R$21+$R$23+$R$14+$R$15+$R$16+$R$17+$R$26+$R$27+$R$28+$R$29+$R$31</f>
        <v>11</v>
      </c>
      <c r="J69" s="1233">
        <f>$U$21+$R$23+$R$14+$R$15+$R$16+$R$17+$R$26+$R$27+$R$28+$R$29+$R$31</f>
        <v>10.23</v>
      </c>
      <c r="K69" s="1233">
        <f>$U$23+$R$14+$R$15+$R$16+$R$17+$R$26+$R$27+$R$28+$R$29+$R$31</f>
        <v>9.7899999999999991</v>
      </c>
      <c r="L69" s="1233">
        <f>$R$14+$R$15+$R$16+$R$17+$R$26+$R$27+$R$28+$R$29+$R$31</f>
        <v>9</v>
      </c>
      <c r="M69" s="1233">
        <f>$R$14+$R$15+$R$16+$R$17+$R$26+$R$27+$R$28+$R$29+$R$31</f>
        <v>9</v>
      </c>
      <c r="N69" s="1233">
        <f>$R$14+$R$15+$R$16+$R$17+$R$26+$R$27+$R$28+$R$29+$R$31</f>
        <v>9</v>
      </c>
      <c r="O69" s="1233">
        <f>$R$14+$R$15+$R$16+$R$17+$R$26+$R$27+$R$28+$R$29+$R$31+$Q$18</f>
        <v>9.15</v>
      </c>
      <c r="P69" s="1233">
        <f>$U$14+$U$15+$R$16+$R$17+$R$26+$R$28+$R$29+$R$31+$R$18+$R$22</f>
        <v>8.76</v>
      </c>
      <c r="Q69" s="1073"/>
      <c r="R69" s="1067"/>
    </row>
    <row r="70" spans="1:18" ht="14.25" thickTop="1" thickBot="1" x14ac:dyDescent="0.25">
      <c r="A70" s="1828" t="s">
        <v>719</v>
      </c>
      <c r="B70" s="1829"/>
      <c r="C70" s="1835"/>
      <c r="D70" s="1836"/>
      <c r="E70" s="1234"/>
      <c r="F70" s="1234"/>
      <c r="G70" s="1234"/>
      <c r="H70" s="1234"/>
      <c r="I70" s="1233">
        <f>Q35+Q36+Q37+Q38</f>
        <v>1.63</v>
      </c>
      <c r="J70" s="1233">
        <f>R35+R36+R37+R38+Q39+Q40+Q41</f>
        <v>4.6329999999999991</v>
      </c>
      <c r="K70" s="1233">
        <f>$R$35+$R$36+$R$37+$R$38+$R$40+$R$41+$Q$42+$Q$43+$Q$44+$Q$45+$R$44</f>
        <v>8.2900000000000009</v>
      </c>
      <c r="L70" s="1233">
        <f>$R$35+$R$36+$R$37+$R$38+$R$40+$R$41+$R$42+$R$43+$R$39</f>
        <v>8.5</v>
      </c>
      <c r="M70" s="1233">
        <f>$R$35+$R$36+$R$37+$R$38+$R$40+$R$41+$R$42+$R$43+$R$39+$R$46</f>
        <v>9.5</v>
      </c>
      <c r="N70" s="1233">
        <f>$R$35+$R$36+$R$37+$R$38+$R$40+$U$41+$R$42+$R$43+$R$39+$R$46</f>
        <v>9.2199999999999989</v>
      </c>
      <c r="O70" s="1233">
        <f>$R$35+$R$36+$R$37+$R$38+$R$40+$R$42+$R$43+$R$39+$R$46</f>
        <v>8.5</v>
      </c>
      <c r="P70" s="1233">
        <f>$R$35+$R$36+$R$37+$R$38+$U$40+$R$42+$R$43+$R$39+$R$46</f>
        <v>8.120000000000001</v>
      </c>
      <c r="Q70" s="1073"/>
      <c r="R70" s="1067"/>
    </row>
    <row r="71" spans="1:18" ht="13.5" thickTop="1" x14ac:dyDescent="0.2">
      <c r="D71" s="143"/>
      <c r="Q71" s="1075"/>
    </row>
    <row r="72" spans="1:18" x14ac:dyDescent="0.2">
      <c r="D72" s="143"/>
      <c r="Q72" s="1075"/>
    </row>
    <row r="73" spans="1:18" ht="13.5" thickBot="1" x14ac:dyDescent="0.25">
      <c r="D73" s="143"/>
      <c r="Q73" s="1075"/>
    </row>
    <row r="74" spans="1:18" ht="27.75" customHeight="1" thickTop="1" thickBot="1" x14ac:dyDescent="0.25">
      <c r="A74" s="1841" t="s">
        <v>716</v>
      </c>
      <c r="B74" s="1841"/>
      <c r="C74" s="1841"/>
      <c r="D74" s="1069"/>
      <c r="E74" s="1003" t="s">
        <v>0</v>
      </c>
      <c r="F74" s="1232" t="s">
        <v>1</v>
      </c>
      <c r="G74" s="1003" t="s">
        <v>2</v>
      </c>
      <c r="H74" s="1003" t="s">
        <v>3</v>
      </c>
      <c r="I74" s="1003" t="s">
        <v>4</v>
      </c>
      <c r="J74" s="1003" t="s">
        <v>5</v>
      </c>
      <c r="K74" s="1003" t="s">
        <v>6</v>
      </c>
      <c r="L74" s="1003" t="s">
        <v>7</v>
      </c>
      <c r="M74" s="1232" t="s">
        <v>8</v>
      </c>
      <c r="N74" s="1003" t="s">
        <v>9</v>
      </c>
      <c r="O74" s="1232" t="s">
        <v>10</v>
      </c>
      <c r="P74" s="1070" t="s">
        <v>11</v>
      </c>
      <c r="Q74" s="1072"/>
      <c r="R74" s="1066"/>
    </row>
    <row r="75" spans="1:18" ht="14.25" thickTop="1" thickBot="1" x14ac:dyDescent="0.25">
      <c r="A75" s="1828" t="s">
        <v>29</v>
      </c>
      <c r="B75" s="1829"/>
      <c r="C75" s="1831"/>
      <c r="D75" s="1832"/>
      <c r="E75" s="1004">
        <f>$D$50+$D$51+$D$52+$D$53</f>
        <v>2.5</v>
      </c>
      <c r="F75" s="1004">
        <f t="shared" ref="F75:P75" si="5">$D$50+$D$51+$D$52+$D$53</f>
        <v>2.5</v>
      </c>
      <c r="G75" s="1004">
        <f t="shared" si="5"/>
        <v>2.5</v>
      </c>
      <c r="H75" s="1004">
        <f t="shared" si="5"/>
        <v>2.5</v>
      </c>
      <c r="I75" s="1004">
        <f t="shared" si="5"/>
        <v>2.5</v>
      </c>
      <c r="J75" s="1004">
        <f t="shared" si="5"/>
        <v>2.5</v>
      </c>
      <c r="K75" s="1004">
        <f t="shared" si="5"/>
        <v>2.5</v>
      </c>
      <c r="L75" s="1004">
        <f t="shared" si="5"/>
        <v>2.5</v>
      </c>
      <c r="M75" s="1004">
        <f t="shared" si="5"/>
        <v>2.5</v>
      </c>
      <c r="N75" s="1004">
        <f t="shared" si="5"/>
        <v>2.5</v>
      </c>
      <c r="O75" s="1004">
        <f t="shared" si="5"/>
        <v>2.5</v>
      </c>
      <c r="P75" s="1004">
        <f t="shared" si="5"/>
        <v>2.5</v>
      </c>
      <c r="Q75" s="1073"/>
      <c r="R75" s="1067"/>
    </row>
    <row r="76" spans="1:18" ht="14.25" thickTop="1" thickBot="1" x14ac:dyDescent="0.25">
      <c r="A76" s="1828" t="s">
        <v>713</v>
      </c>
      <c r="B76" s="1829"/>
      <c r="C76" s="1833"/>
      <c r="D76" s="1834"/>
      <c r="E76" s="1005">
        <f>$L$51+$L$52+$L$53</f>
        <v>3</v>
      </c>
      <c r="F76" s="1005">
        <f t="shared" ref="F76:N76" si="6">$L$51+$L$52+$L$53</f>
        <v>3</v>
      </c>
      <c r="G76" s="1005">
        <f t="shared" si="6"/>
        <v>3</v>
      </c>
      <c r="H76" s="1005">
        <f t="shared" si="6"/>
        <v>3</v>
      </c>
      <c r="I76" s="1005">
        <f t="shared" si="6"/>
        <v>3</v>
      </c>
      <c r="J76" s="1005">
        <f t="shared" si="6"/>
        <v>3</v>
      </c>
      <c r="K76" s="1005">
        <f t="shared" si="6"/>
        <v>3</v>
      </c>
      <c r="L76" s="1005">
        <f t="shared" si="6"/>
        <v>3</v>
      </c>
      <c r="M76" s="1005">
        <f t="shared" si="6"/>
        <v>3</v>
      </c>
      <c r="N76" s="1005">
        <f t="shared" si="6"/>
        <v>3</v>
      </c>
      <c r="O76" s="1005">
        <f>$L$51+$L$52+$L$53+$I$50</f>
        <v>3.29</v>
      </c>
      <c r="P76" s="1005">
        <f>$L$52+$L$53+$L$50</f>
        <v>3</v>
      </c>
      <c r="Q76" s="1073"/>
      <c r="R76" s="1067"/>
    </row>
    <row r="77" spans="1:18" ht="14.25" thickTop="1" thickBot="1" x14ac:dyDescent="0.25">
      <c r="A77" s="1828" t="s">
        <v>714</v>
      </c>
      <c r="B77" s="1829"/>
      <c r="C77" s="1833"/>
      <c r="D77" s="1834"/>
      <c r="E77" s="1005">
        <f>$R$51+$R$52</f>
        <v>2</v>
      </c>
      <c r="F77" s="1005">
        <f t="shared" ref="F77:P77" si="7">$R$51+$R$52</f>
        <v>2</v>
      </c>
      <c r="G77" s="1005">
        <f t="shared" si="7"/>
        <v>2</v>
      </c>
      <c r="H77" s="1005">
        <f t="shared" si="7"/>
        <v>2</v>
      </c>
      <c r="I77" s="1005">
        <f t="shared" si="7"/>
        <v>2</v>
      </c>
      <c r="J77" s="1005">
        <f t="shared" si="7"/>
        <v>2</v>
      </c>
      <c r="K77" s="1005">
        <f t="shared" si="7"/>
        <v>2</v>
      </c>
      <c r="L77" s="1005">
        <f t="shared" si="7"/>
        <v>2</v>
      </c>
      <c r="M77" s="1005">
        <f t="shared" si="7"/>
        <v>2</v>
      </c>
      <c r="N77" s="1005">
        <f t="shared" si="7"/>
        <v>2</v>
      </c>
      <c r="O77" s="1005">
        <f t="shared" si="7"/>
        <v>2</v>
      </c>
      <c r="P77" s="1005">
        <f t="shared" si="7"/>
        <v>2</v>
      </c>
      <c r="Q77" s="1073"/>
      <c r="R77" s="1067"/>
    </row>
    <row r="78" spans="1:18" ht="14.25" thickTop="1" thickBot="1" x14ac:dyDescent="0.25">
      <c r="A78" s="1837"/>
      <c r="B78" s="1838"/>
      <c r="C78" s="1833"/>
      <c r="D78" s="1834"/>
      <c r="E78" s="1417"/>
      <c r="F78" s="1418"/>
      <c r="G78" s="1418"/>
      <c r="H78" s="1418"/>
      <c r="I78" s="1418"/>
      <c r="J78" s="1418"/>
      <c r="K78" s="1418"/>
      <c r="L78" s="1418"/>
      <c r="M78" s="1418"/>
      <c r="N78" s="1418"/>
      <c r="O78" s="1419"/>
      <c r="P78" s="1420"/>
      <c r="Q78" s="1073"/>
      <c r="R78" s="1076"/>
    </row>
    <row r="79" spans="1:18" ht="14.25" thickTop="1" thickBot="1" x14ac:dyDescent="0.25">
      <c r="A79" s="1839" t="s">
        <v>715</v>
      </c>
      <c r="B79" s="1840"/>
      <c r="C79" s="1833"/>
      <c r="D79" s="1834"/>
      <c r="E79" s="1421">
        <f>SUM(E75:E78)</f>
        <v>7.5</v>
      </c>
      <c r="F79" s="1422">
        <f t="shared" ref="F79" si="8">SUM(F75:F78)</f>
        <v>7.5</v>
      </c>
      <c r="G79" s="1422">
        <f t="shared" ref="G79" si="9">SUM(G75:G78)</f>
        <v>7.5</v>
      </c>
      <c r="H79" s="1422">
        <f t="shared" ref="H79" si="10">SUM(H75:H78)</f>
        <v>7.5</v>
      </c>
      <c r="I79" s="1422">
        <f t="shared" ref="I79" si="11">SUM(I75:I78)</f>
        <v>7.5</v>
      </c>
      <c r="J79" s="1422">
        <f t="shared" ref="J79:P79" si="12">SUM(J75:J78)</f>
        <v>7.5</v>
      </c>
      <c r="K79" s="1422">
        <f t="shared" si="12"/>
        <v>7.5</v>
      </c>
      <c r="L79" s="1422">
        <f t="shared" si="12"/>
        <v>7.5</v>
      </c>
      <c r="M79" s="1422">
        <f t="shared" si="12"/>
        <v>7.5</v>
      </c>
      <c r="N79" s="1422">
        <f t="shared" si="12"/>
        <v>7.5</v>
      </c>
      <c r="O79" s="1422">
        <f t="shared" si="12"/>
        <v>7.79</v>
      </c>
      <c r="P79" s="1423">
        <f t="shared" si="12"/>
        <v>7.5</v>
      </c>
      <c r="Q79" s="1074"/>
      <c r="R79" s="237"/>
    </row>
    <row r="80" spans="1:18" ht="14.25" thickTop="1" thickBot="1" x14ac:dyDescent="0.25">
      <c r="A80" s="1828" t="s">
        <v>717</v>
      </c>
      <c r="B80" s="1829"/>
      <c r="C80" s="1833"/>
      <c r="D80" s="1834"/>
      <c r="E80" s="1424">
        <f>$D$50+$D$51+$D$52+$D$53+$L$51+$L$52+$L$53+$R$51</f>
        <v>6.5</v>
      </c>
      <c r="F80" s="1424">
        <f t="shared" ref="F80:M80" si="13">$D$50+$D$51+$D$52+$D$53+$L$51+$L$52+$L$53+$R$51</f>
        <v>6.5</v>
      </c>
      <c r="G80" s="1424">
        <f t="shared" si="13"/>
        <v>6.5</v>
      </c>
      <c r="H80" s="1424">
        <f t="shared" si="13"/>
        <v>6.5</v>
      </c>
      <c r="I80" s="1424">
        <f t="shared" si="13"/>
        <v>6.5</v>
      </c>
      <c r="J80" s="1424">
        <f t="shared" si="13"/>
        <v>6.5</v>
      </c>
      <c r="K80" s="1424">
        <f t="shared" si="13"/>
        <v>6.5</v>
      </c>
      <c r="L80" s="1424">
        <f t="shared" si="13"/>
        <v>6.5</v>
      </c>
      <c r="M80" s="1424">
        <f t="shared" si="13"/>
        <v>6.5</v>
      </c>
      <c r="N80" s="1424">
        <f>$D$50+$D$51+$D$52+$D$53+$L$51+$L$52+$L$53+$R$51</f>
        <v>6.5</v>
      </c>
      <c r="O80" s="1424">
        <f>$D$50+$D$51+$D$52+$D$53+$L$51+$L$52+$L$53+$R$51+I50</f>
        <v>6.79</v>
      </c>
      <c r="P80" s="1424">
        <f>$D$50+$D$51+$D$52+$D$53+$L$52+$L$53+$L$50+$R$51</f>
        <v>6.5</v>
      </c>
      <c r="Q80" s="1073"/>
      <c r="R80" s="1067"/>
    </row>
    <row r="81" spans="1:18" ht="14.25" thickTop="1" thickBot="1" x14ac:dyDescent="0.25">
      <c r="A81" s="1828" t="s">
        <v>718</v>
      </c>
      <c r="B81" s="1829"/>
      <c r="C81" s="1833"/>
      <c r="D81" s="1834"/>
      <c r="E81" s="1424">
        <f t="shared" ref="E81:P81" si="14">$R$52</f>
        <v>1</v>
      </c>
      <c r="F81" s="1425">
        <f t="shared" si="14"/>
        <v>1</v>
      </c>
      <c r="G81" s="1425">
        <f t="shared" si="14"/>
        <v>1</v>
      </c>
      <c r="H81" s="1425">
        <f t="shared" si="14"/>
        <v>1</v>
      </c>
      <c r="I81" s="1425">
        <f t="shared" si="14"/>
        <v>1</v>
      </c>
      <c r="J81" s="1425">
        <f t="shared" si="14"/>
        <v>1</v>
      </c>
      <c r="K81" s="1425">
        <f t="shared" si="14"/>
        <v>1</v>
      </c>
      <c r="L81" s="1425">
        <f t="shared" si="14"/>
        <v>1</v>
      </c>
      <c r="M81" s="1425">
        <f t="shared" si="14"/>
        <v>1</v>
      </c>
      <c r="N81" s="1425">
        <f t="shared" si="14"/>
        <v>1</v>
      </c>
      <c r="O81" s="1425">
        <f t="shared" si="14"/>
        <v>1</v>
      </c>
      <c r="P81" s="1426">
        <f t="shared" si="14"/>
        <v>1</v>
      </c>
      <c r="Q81" s="1073"/>
      <c r="R81" s="1067"/>
    </row>
    <row r="82" spans="1:18" ht="14.25" thickTop="1" thickBot="1" x14ac:dyDescent="0.25">
      <c r="A82" s="1828" t="s">
        <v>719</v>
      </c>
      <c r="B82" s="1829"/>
      <c r="C82" s="1835"/>
      <c r="D82" s="1836"/>
      <c r="E82" s="1427">
        <v>0</v>
      </c>
      <c r="F82" s="1428">
        <v>0</v>
      </c>
      <c r="G82" s="1428">
        <v>0</v>
      </c>
      <c r="H82" s="1428">
        <v>0</v>
      </c>
      <c r="I82" s="1428">
        <v>0</v>
      </c>
      <c r="J82" s="1428">
        <v>0</v>
      </c>
      <c r="K82" s="1428">
        <v>0</v>
      </c>
      <c r="L82" s="1428">
        <v>0</v>
      </c>
      <c r="M82" s="1428">
        <v>0</v>
      </c>
      <c r="N82" s="1428">
        <v>0</v>
      </c>
      <c r="O82" s="1428">
        <v>0</v>
      </c>
      <c r="P82" s="1429">
        <v>0</v>
      </c>
      <c r="Q82" s="1076"/>
      <c r="R82" s="1067"/>
    </row>
    <row r="83" spans="1:18" ht="13.5" thickTop="1" x14ac:dyDescent="0.2"/>
  </sheetData>
  <mergeCells count="113">
    <mergeCell ref="G12:H12"/>
    <mergeCell ref="A7:C7"/>
    <mergeCell ref="A8:C8"/>
    <mergeCell ref="B14:C14"/>
    <mergeCell ref="O26:P26"/>
    <mergeCell ref="O27:P27"/>
    <mergeCell ref="O32:P32"/>
    <mergeCell ref="O37:P37"/>
    <mergeCell ref="R1:R4"/>
    <mergeCell ref="O5:P5"/>
    <mergeCell ref="O6:P6"/>
    <mergeCell ref="O7:P7"/>
    <mergeCell ref="O8:P8"/>
    <mergeCell ref="O3:Q3"/>
    <mergeCell ref="A3:C3"/>
    <mergeCell ref="G3:J3"/>
    <mergeCell ref="D1:D4"/>
    <mergeCell ref="L1:L4"/>
    <mergeCell ref="G7:H7"/>
    <mergeCell ref="G6:H6"/>
    <mergeCell ref="A5:C5"/>
    <mergeCell ref="A6:C6"/>
    <mergeCell ref="G5:H5"/>
    <mergeCell ref="A50:C50"/>
    <mergeCell ref="A9:C9"/>
    <mergeCell ref="G8:H8"/>
    <mergeCell ref="A48:C48"/>
    <mergeCell ref="G48:J48"/>
    <mergeCell ref="O17:P17"/>
    <mergeCell ref="O9:P9"/>
    <mergeCell ref="O10:P10"/>
    <mergeCell ref="O12:P12"/>
    <mergeCell ref="G50:H50"/>
    <mergeCell ref="G13:H13"/>
    <mergeCell ref="G14:H14"/>
    <mergeCell ref="O30:P30"/>
    <mergeCell ref="O31:P31"/>
    <mergeCell ref="O39:P39"/>
    <mergeCell ref="O40:P40"/>
    <mergeCell ref="O41:P41"/>
    <mergeCell ref="O42:P42"/>
    <mergeCell ref="O43:P43"/>
    <mergeCell ref="O45:P45"/>
    <mergeCell ref="O44:P44"/>
    <mergeCell ref="G9:H9"/>
    <mergeCell ref="G10:H10"/>
    <mergeCell ref="G11:H11"/>
    <mergeCell ref="G56:H56"/>
    <mergeCell ref="A57:C58"/>
    <mergeCell ref="O61:Q61"/>
    <mergeCell ref="A62:C62"/>
    <mergeCell ref="A63:B63"/>
    <mergeCell ref="A64:B64"/>
    <mergeCell ref="G15:H15"/>
    <mergeCell ref="O58:Q58"/>
    <mergeCell ref="G16:H16"/>
    <mergeCell ref="G17:H17"/>
    <mergeCell ref="G18:H18"/>
    <mergeCell ref="B16:C16"/>
    <mergeCell ref="B18:D18"/>
    <mergeCell ref="O46:P46"/>
    <mergeCell ref="O50:P50"/>
    <mergeCell ref="O25:P25"/>
    <mergeCell ref="O56:P56"/>
    <mergeCell ref="O51:P51"/>
    <mergeCell ref="O52:P52"/>
    <mergeCell ref="O53:P53"/>
    <mergeCell ref="O54:P54"/>
    <mergeCell ref="O34:Q34"/>
    <mergeCell ref="O48:Q48"/>
    <mergeCell ref="O19:P19"/>
    <mergeCell ref="O55:P55"/>
    <mergeCell ref="O14:P14"/>
    <mergeCell ref="G55:H55"/>
    <mergeCell ref="A51:C51"/>
    <mergeCell ref="B20:C20"/>
    <mergeCell ref="A53:C53"/>
    <mergeCell ref="G52:H52"/>
    <mergeCell ref="G53:H53"/>
    <mergeCell ref="G54:H54"/>
    <mergeCell ref="G51:H51"/>
    <mergeCell ref="A52:C52"/>
    <mergeCell ref="O18:P18"/>
    <mergeCell ref="O16:P16"/>
    <mergeCell ref="O15:P15"/>
    <mergeCell ref="O35:P35"/>
    <mergeCell ref="O36:P36"/>
    <mergeCell ref="O20:P20"/>
    <mergeCell ref="O21:P21"/>
    <mergeCell ref="O22:P22"/>
    <mergeCell ref="O28:P28"/>
    <mergeCell ref="O29:P29"/>
    <mergeCell ref="O23:P23"/>
    <mergeCell ref="O24:P24"/>
    <mergeCell ref="O38:P38"/>
    <mergeCell ref="A81:B81"/>
    <mergeCell ref="A54:C54"/>
    <mergeCell ref="A69:B69"/>
    <mergeCell ref="A70:B70"/>
    <mergeCell ref="C63:D70"/>
    <mergeCell ref="C75:D82"/>
    <mergeCell ref="A82:B82"/>
    <mergeCell ref="A66:B66"/>
    <mergeCell ref="A78:B78"/>
    <mergeCell ref="A79:B79"/>
    <mergeCell ref="A67:B67"/>
    <mergeCell ref="A74:C74"/>
    <mergeCell ref="A75:B75"/>
    <mergeCell ref="A76:B76"/>
    <mergeCell ref="A77:B77"/>
    <mergeCell ref="A68:B68"/>
    <mergeCell ref="A65:B65"/>
    <mergeCell ref="A80:B80"/>
  </mergeCells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U121"/>
  <sheetViews>
    <sheetView topLeftCell="A52" zoomScale="70" zoomScaleNormal="70" workbookViewId="0">
      <selection activeCell="K64" sqref="K64"/>
    </sheetView>
  </sheetViews>
  <sheetFormatPr baseColWidth="10" defaultRowHeight="15" x14ac:dyDescent="0.25"/>
  <cols>
    <col min="2" max="2" width="26.28515625" customWidth="1"/>
    <col min="3" max="3" width="14.85546875" customWidth="1"/>
    <col min="4" max="4" width="13.7109375" customWidth="1"/>
    <col min="5" max="5" width="14.140625" customWidth="1"/>
    <col min="6" max="6" width="13.7109375" customWidth="1"/>
    <col min="7" max="7" width="14.85546875" customWidth="1"/>
    <col min="8" max="8" width="13.5703125" customWidth="1"/>
    <col min="11" max="11" width="13.85546875" customWidth="1"/>
    <col min="12" max="12" width="12.140625" customWidth="1"/>
    <col min="13" max="13" width="13.85546875" customWidth="1"/>
    <col min="14" max="14" width="16.42578125" customWidth="1"/>
  </cols>
  <sheetData>
    <row r="1" spans="2:21" x14ac:dyDescent="0.25">
      <c r="R1" s="1654" t="s">
        <v>50</v>
      </c>
      <c r="S1" s="1654"/>
    </row>
    <row r="3" spans="2:21" ht="15.75" thickBot="1" x14ac:dyDescent="0.3"/>
    <row r="4" spans="2:21" ht="27.75" thickTop="1" thickBot="1" x14ac:dyDescent="0.3">
      <c r="E4" s="1655" t="s">
        <v>39</v>
      </c>
      <c r="F4" s="1656"/>
      <c r="G4" s="1656"/>
      <c r="H4" s="1656"/>
      <c r="I4" s="1657"/>
    </row>
    <row r="5" spans="2:21" ht="15.75" thickTop="1" x14ac:dyDescent="0.25"/>
    <row r="6" spans="2:21" ht="15.75" thickBot="1" x14ac:dyDescent="0.3">
      <c r="B6" s="5" t="s">
        <v>821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1299">
        <f>DATOS!D5</f>
        <v>1012.2199999999898</v>
      </c>
      <c r="D7" s="1299">
        <f>DATOS!F5</f>
        <v>33626.650000000016</v>
      </c>
      <c r="E7" s="1299">
        <f>DATOS!H5</f>
        <v>-19229.38</v>
      </c>
      <c r="F7" s="1299">
        <f>DATOS!J5</f>
        <v>17381.970000000005</v>
      </c>
      <c r="G7" s="1299">
        <f>DATOS!L5</f>
        <v>18306.719999999979</v>
      </c>
      <c r="H7" s="1299">
        <f>DATOS!N5</f>
        <v>-20863.039999999997</v>
      </c>
      <c r="I7" s="1299">
        <f>DATOS!P5</f>
        <v>-32759.87</v>
      </c>
      <c r="J7" s="1299">
        <f>DATOS!R5</f>
        <v>-13051.13</v>
      </c>
      <c r="K7" s="1299">
        <f>DATOS!T5</f>
        <v>-17430.36</v>
      </c>
      <c r="L7" s="1299">
        <f>DATOS!V5</f>
        <v>-20007.990000000002</v>
      </c>
      <c r="M7" s="1299">
        <f>DATOS!X5</f>
        <v>-13754.3</v>
      </c>
      <c r="N7" s="1299">
        <f>DATOS!Z5</f>
        <v>45163.090000000004</v>
      </c>
    </row>
    <row r="8" spans="2:21" x14ac:dyDescent="0.25">
      <c r="B8" s="69" t="s">
        <v>41</v>
      </c>
      <c r="C8" s="1300">
        <f>DATOS!D$3</f>
        <v>100491.06</v>
      </c>
      <c r="D8" s="1300">
        <f>DATOS!F$3</f>
        <v>140829.41</v>
      </c>
      <c r="E8" s="1300">
        <f>DATOS!H$3</f>
        <v>78383.17</v>
      </c>
      <c r="F8" s="1300">
        <f>DATOS!J$3</f>
        <v>115177.02</v>
      </c>
      <c r="G8" s="1300">
        <f>DATOS!L$3</f>
        <v>131578.49</v>
      </c>
      <c r="H8" s="1300">
        <f>DATOS!N$3</f>
        <v>146938.93</v>
      </c>
      <c r="I8" s="1300">
        <f>DATOS!P$3</f>
        <v>1171781.1100000001</v>
      </c>
      <c r="J8" s="1300">
        <f>DATOS!R$3</f>
        <v>15263.97</v>
      </c>
      <c r="K8" s="1300">
        <f>DATOS!T$3</f>
        <v>163103.23000000001</v>
      </c>
      <c r="L8" s="1300">
        <f>DATOS!V$3</f>
        <v>168743.54</v>
      </c>
      <c r="M8" s="1300">
        <f>DATOS!X$3</f>
        <v>154602.73000000001</v>
      </c>
      <c r="N8" s="1300">
        <f>DATOS!Z$3</f>
        <v>49042.68</v>
      </c>
    </row>
    <row r="9" spans="2:21" x14ac:dyDescent="0.25">
      <c r="B9" s="1" t="s">
        <v>73</v>
      </c>
      <c r="C9" s="369">
        <f>(C$7/C$8)</f>
        <v>1.0072736818578586E-2</v>
      </c>
      <c r="D9" s="369">
        <f t="shared" ref="D9:N9" si="0">(D$7/D$8)</f>
        <v>0.23877576423845001</v>
      </c>
      <c r="E9" s="369">
        <f t="shared" si="0"/>
        <v>-0.24532536767778085</v>
      </c>
      <c r="F9" s="369">
        <f t="shared" si="0"/>
        <v>0.15091526070044184</v>
      </c>
      <c r="G9" s="369">
        <f t="shared" si="0"/>
        <v>0.13913155562128721</v>
      </c>
      <c r="H9" s="369">
        <f t="shared" si="0"/>
        <v>-0.14198442849692725</v>
      </c>
      <c r="I9" s="369">
        <f t="shared" si="0"/>
        <v>-2.7957328992955003E-2</v>
      </c>
      <c r="J9" s="369">
        <f t="shared" si="0"/>
        <v>-0.85502854106762527</v>
      </c>
      <c r="K9" s="369">
        <f t="shared" si="0"/>
        <v>-0.10686704365082163</v>
      </c>
      <c r="L9" s="369">
        <f t="shared" si="0"/>
        <v>-0.11857040571745739</v>
      </c>
      <c r="M9" s="369">
        <f t="shared" si="0"/>
        <v>-8.8965440649075203E-2</v>
      </c>
      <c r="N9" s="369">
        <f t="shared" si="0"/>
        <v>0.92089359716883346</v>
      </c>
    </row>
    <row r="10" spans="2:21" ht="18.75" x14ac:dyDescent="0.3">
      <c r="B10" s="77" t="s">
        <v>27</v>
      </c>
      <c r="C10" s="86"/>
      <c r="D10" s="86"/>
      <c r="E10" s="368">
        <f>(C7+D7+E7)/(C8+D8+E8)</f>
        <v>4.8199294821916948E-2</v>
      </c>
      <c r="F10" s="86"/>
      <c r="G10" s="86"/>
      <c r="H10" s="368">
        <f>(F7+G7+H7)/(F8+G8+H8)</f>
        <v>3.7657758133439703E-2</v>
      </c>
      <c r="I10" s="86"/>
      <c r="J10" s="86"/>
      <c r="K10" s="368">
        <f>(I7+J7+K7)/(I8+J8+K8)</f>
        <v>-4.6840306010530054E-2</v>
      </c>
      <c r="L10" s="86"/>
      <c r="M10" s="86"/>
      <c r="N10" s="368">
        <f>(L7+M7+N7)/(L8+M8+N8)</f>
        <v>3.0615301555000498E-2</v>
      </c>
    </row>
    <row r="11" spans="2:21" x14ac:dyDescent="0.25">
      <c r="B11" s="1" t="s">
        <v>20</v>
      </c>
      <c r="C11" s="36"/>
      <c r="D11" s="36"/>
      <c r="E11" s="369">
        <v>0.15</v>
      </c>
      <c r="F11" s="36"/>
      <c r="G11" s="36"/>
      <c r="H11" s="369">
        <v>0.15</v>
      </c>
      <c r="I11" s="36"/>
      <c r="J11" s="36"/>
      <c r="K11" s="369">
        <v>0.15</v>
      </c>
      <c r="L11" s="36"/>
      <c r="M11" s="36"/>
      <c r="N11" s="369">
        <v>0.15</v>
      </c>
    </row>
    <row r="12" spans="2:21" x14ac:dyDescent="0.25">
      <c r="B12" s="8" t="s">
        <v>17</v>
      </c>
      <c r="C12" s="37"/>
      <c r="D12" s="37"/>
      <c r="E12" s="9">
        <f>E10-E11</f>
        <v>-0.10180070517808304</v>
      </c>
      <c r="F12" s="37"/>
      <c r="G12" s="37"/>
      <c r="H12" s="9">
        <f>H10-H11</f>
        <v>-0.11234224186656029</v>
      </c>
      <c r="I12" s="37"/>
      <c r="J12" s="37"/>
      <c r="K12" s="9">
        <f>K10-K11</f>
        <v>-0.19684030601053004</v>
      </c>
      <c r="L12" s="37"/>
      <c r="M12" s="37"/>
      <c r="N12" s="9">
        <f>N9-N11</f>
        <v>0.77089359716883343</v>
      </c>
      <c r="P12" s="1654" t="s">
        <v>42</v>
      </c>
      <c r="Q12" s="1654"/>
      <c r="R12" s="1654"/>
      <c r="S12" s="1654"/>
      <c r="T12" s="1654"/>
      <c r="U12" s="1654"/>
    </row>
    <row r="13" spans="2:21" ht="15.75" thickBot="1" x14ac:dyDescent="0.3">
      <c r="P13" s="1654"/>
      <c r="Q13" s="1654"/>
      <c r="R13" s="1654"/>
      <c r="S13" s="1654"/>
      <c r="T13" s="1654"/>
      <c r="U13" s="1654"/>
    </row>
    <row r="14" spans="2:21" ht="27.75" customHeight="1" thickTop="1" thickBot="1" x14ac:dyDescent="0.45">
      <c r="C14" s="1658" t="s">
        <v>42</v>
      </c>
      <c r="D14" s="1661"/>
      <c r="E14" s="1661"/>
      <c r="F14" s="1661"/>
      <c r="G14" s="1661"/>
      <c r="H14" s="1661"/>
      <c r="I14" s="1661"/>
      <c r="J14" s="1661"/>
      <c r="K14" s="1661"/>
      <c r="L14" s="1661"/>
      <c r="M14" s="1662"/>
    </row>
    <row r="15" spans="2:21" ht="15.75" thickTop="1" x14ac:dyDescent="0.25"/>
    <row r="16" spans="2:21" ht="15.75" thickBot="1" x14ac:dyDescent="0.3">
      <c r="B16" s="20" t="s">
        <v>821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DATOS!D13</f>
        <v>34711.370000000003</v>
      </c>
      <c r="D17" s="15">
        <f>DATOS!F13</f>
        <v>34771.870000000003</v>
      </c>
      <c r="E17" s="15">
        <f>DATOS!H13</f>
        <v>34771.870000000003</v>
      </c>
      <c r="F17" s="15">
        <f>DATOS!J13</f>
        <v>34806.870000000003</v>
      </c>
      <c r="G17" s="15">
        <f>DATOS!L13</f>
        <v>34806.870000000003</v>
      </c>
      <c r="H17" s="15">
        <f>DATOS!N13</f>
        <v>34806.870000000003</v>
      </c>
      <c r="I17" s="15">
        <f>DATOS!P13</f>
        <v>34806.870000000003</v>
      </c>
      <c r="J17" s="15">
        <f>DATOS!R13</f>
        <v>17403.53</v>
      </c>
      <c r="K17" s="15">
        <f>DATOS!T13</f>
        <v>34806.870000000003</v>
      </c>
      <c r="L17" s="15">
        <f>DATOS!V13</f>
        <v>34806.870000000003</v>
      </c>
      <c r="M17" s="15">
        <f>DATOS!X13</f>
        <v>34806.870000000003</v>
      </c>
      <c r="N17" s="15">
        <f>DATOS!Z13</f>
        <v>17403.38</v>
      </c>
      <c r="P17" s="1654"/>
      <c r="Q17" s="1654"/>
      <c r="R17" s="1654"/>
      <c r="S17" s="1654"/>
      <c r="T17" s="1654"/>
      <c r="U17" s="1654"/>
    </row>
    <row r="18" spans="2:21" x14ac:dyDescent="0.25">
      <c r="B18" s="71" t="s">
        <v>41</v>
      </c>
      <c r="C18" s="72">
        <f>DATOS!D$3</f>
        <v>100491.06</v>
      </c>
      <c r="D18" s="72">
        <f>DATOS!F$3</f>
        <v>140829.41</v>
      </c>
      <c r="E18" s="72">
        <f>DATOS!H$3</f>
        <v>78383.17</v>
      </c>
      <c r="F18" s="72">
        <f>DATOS!J$3</f>
        <v>115177.02</v>
      </c>
      <c r="G18" s="72">
        <f>DATOS!L$3</f>
        <v>131578.49</v>
      </c>
      <c r="H18" s="72">
        <f>DATOS!N$3</f>
        <v>146938.93</v>
      </c>
      <c r="I18" s="72">
        <f>DATOS!P$3</f>
        <v>1171781.1100000001</v>
      </c>
      <c r="J18" s="72">
        <f>DATOS!R$3</f>
        <v>15263.97</v>
      </c>
      <c r="K18" s="72">
        <f>DATOS!T$3</f>
        <v>163103.23000000001</v>
      </c>
      <c r="L18" s="72">
        <f>DATOS!V$3</f>
        <v>168743.54</v>
      </c>
      <c r="M18" s="72">
        <f>DATOS!X$3</f>
        <v>154602.73000000001</v>
      </c>
      <c r="N18" s="72">
        <f>DATOS!Z$3</f>
        <v>49042.68</v>
      </c>
    </row>
    <row r="19" spans="2:21" x14ac:dyDescent="0.25">
      <c r="B19" s="12" t="s">
        <v>73</v>
      </c>
      <c r="C19" s="366">
        <f>(C$17/C$18)</f>
        <v>0.34541749285956386</v>
      </c>
      <c r="D19" s="366">
        <f t="shared" ref="D19:N19" si="1">(D$17/D$18)</f>
        <v>0.24690773042363809</v>
      </c>
      <c r="E19" s="366">
        <f t="shared" si="1"/>
        <v>0.44361397988879503</v>
      </c>
      <c r="F19" s="366">
        <f t="shared" si="1"/>
        <v>0.30220325200287351</v>
      </c>
      <c r="G19" s="366">
        <f t="shared" si="1"/>
        <v>0.26453313151716518</v>
      </c>
      <c r="H19" s="366">
        <f t="shared" si="1"/>
        <v>0.23687983844716989</v>
      </c>
      <c r="I19" s="366">
        <f t="shared" si="1"/>
        <v>2.9704242288049857E-2</v>
      </c>
      <c r="J19" s="366">
        <f t="shared" si="1"/>
        <v>1.1401706109223222</v>
      </c>
      <c r="K19" s="366">
        <f t="shared" si="1"/>
        <v>0.21340392829743471</v>
      </c>
      <c r="L19" s="366">
        <f t="shared" si="1"/>
        <v>0.20627082968628013</v>
      </c>
      <c r="M19" s="366">
        <f t="shared" si="1"/>
        <v>0.22513748625266838</v>
      </c>
      <c r="N19" s="366">
        <f t="shared" si="1"/>
        <v>0.35486192842642372</v>
      </c>
    </row>
    <row r="20" spans="2:21" ht="18.75" x14ac:dyDescent="0.3">
      <c r="B20" s="77" t="s">
        <v>27</v>
      </c>
      <c r="C20" s="80"/>
      <c r="D20" s="80"/>
      <c r="E20" s="368">
        <f>(C17+D17+E17)/(C18+D18+E18)</f>
        <v>0.32609922739697306</v>
      </c>
      <c r="F20" s="80"/>
      <c r="G20" s="80"/>
      <c r="H20" s="368">
        <f>(F17+G17+H17)/(F18+G18+H18)</f>
        <v>0.26523262558648281</v>
      </c>
      <c r="I20" s="80"/>
      <c r="J20" s="80"/>
      <c r="K20" s="368">
        <f>(I17+J17+K17)/(I18+J18+K18)</f>
        <v>6.4450156590574847E-2</v>
      </c>
      <c r="L20" s="80"/>
      <c r="M20" s="80"/>
      <c r="N20" s="368">
        <f>(L17+M17+N17)/(L18+M18+N18)</f>
        <v>0.23367266939580245</v>
      </c>
      <c r="R20" s="1654"/>
      <c r="S20" s="1654"/>
    </row>
    <row r="21" spans="2:21" x14ac:dyDescent="0.25">
      <c r="B21" s="1" t="s">
        <v>20</v>
      </c>
      <c r="C21" s="17"/>
      <c r="D21" s="17"/>
      <c r="E21" s="369">
        <v>0.17</v>
      </c>
      <c r="F21" s="17"/>
      <c r="G21" s="17"/>
      <c r="H21" s="369">
        <v>0.17</v>
      </c>
      <c r="I21" s="17"/>
      <c r="J21" s="17"/>
      <c r="K21" s="369">
        <v>0.17</v>
      </c>
      <c r="L21" s="17"/>
      <c r="M21" s="17"/>
      <c r="N21" s="369">
        <v>0.17</v>
      </c>
    </row>
    <row r="22" spans="2:21" ht="15" customHeight="1" x14ac:dyDescent="0.25">
      <c r="B22" s="1" t="s">
        <v>17</v>
      </c>
      <c r="C22" s="36"/>
      <c r="D22" s="36"/>
      <c r="E22" s="369">
        <f>E21-E20</f>
        <v>-0.15609922739697304</v>
      </c>
      <c r="F22" s="36"/>
      <c r="G22" s="36"/>
      <c r="H22" s="369">
        <f>H21-H20</f>
        <v>-9.5232625586482794E-2</v>
      </c>
      <c r="I22" s="36"/>
      <c r="J22" s="36"/>
      <c r="K22" s="369">
        <f>K21-K20</f>
        <v>0.10554984340942516</v>
      </c>
      <c r="L22" s="36"/>
      <c r="M22" s="36"/>
      <c r="N22" s="369">
        <f>N21-N19</f>
        <v>-0.18486192842642371</v>
      </c>
      <c r="Q22" s="1654" t="s">
        <v>54</v>
      </c>
      <c r="R22" s="1654"/>
      <c r="S22" s="1654"/>
      <c r="T22" s="1654"/>
      <c r="U22" s="1654"/>
    </row>
    <row r="23" spans="2:21" ht="15.75" thickBot="1" x14ac:dyDescent="0.3"/>
    <row r="24" spans="2:21" ht="27.75" thickTop="1" thickBot="1" x14ac:dyDescent="0.45">
      <c r="E24" s="1658" t="s">
        <v>51</v>
      </c>
      <c r="F24" s="1659"/>
      <c r="G24" s="1659"/>
      <c r="H24" s="1659"/>
      <c r="I24" s="1660"/>
    </row>
    <row r="25" spans="2:21" ht="15.75" thickTop="1" x14ac:dyDescent="0.25"/>
    <row r="26" spans="2:21" ht="15.75" thickBot="1" x14ac:dyDescent="0.3">
      <c r="B26" s="20" t="s">
        <v>821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</row>
    <row r="27" spans="2:21" ht="18.75" x14ac:dyDescent="0.3">
      <c r="B27" s="12" t="s">
        <v>276</v>
      </c>
      <c r="C27" s="526">
        <f>DATOS!D$67</f>
        <v>0</v>
      </c>
      <c r="D27" s="526">
        <f>DATOS!F$67</f>
        <v>0</v>
      </c>
      <c r="E27" s="526">
        <f>DATOS!H$67</f>
        <v>0</v>
      </c>
      <c r="F27" s="526">
        <f>DATOS!J$67</f>
        <v>0</v>
      </c>
      <c r="G27" s="526">
        <f>DATOS!L$67</f>
        <v>0</v>
      </c>
      <c r="H27" s="526">
        <f>DATOS!N$67</f>
        <v>0</v>
      </c>
      <c r="I27" s="526">
        <f>DATOS!P$67</f>
        <v>0</v>
      </c>
      <c r="J27" s="526">
        <f>DATOS!R$67</f>
        <v>0</v>
      </c>
      <c r="K27" s="526">
        <f>DATOS!T$67</f>
        <v>0</v>
      </c>
      <c r="L27" s="526">
        <f>DATOS!V$67</f>
        <v>0</v>
      </c>
      <c r="M27" s="526">
        <f>DATOS!X$67</f>
        <v>0</v>
      </c>
      <c r="N27" s="526">
        <f>DATOS!Z$67</f>
        <v>0</v>
      </c>
    </row>
    <row r="28" spans="2:21" ht="18.75" x14ac:dyDescent="0.3">
      <c r="B28" s="77" t="s">
        <v>27</v>
      </c>
      <c r="C28" s="85"/>
      <c r="D28" s="85"/>
      <c r="E28" s="83">
        <f>C27+D27+E27</f>
        <v>0</v>
      </c>
      <c r="F28" s="85"/>
      <c r="G28" s="85"/>
      <c r="H28" s="83">
        <f>F27+G27+H27</f>
        <v>0</v>
      </c>
      <c r="I28" s="85"/>
      <c r="J28" s="85"/>
      <c r="K28" s="83">
        <f>I27+J27+K27</f>
        <v>0</v>
      </c>
      <c r="L28" s="85"/>
      <c r="M28" s="85"/>
      <c r="N28" s="83">
        <f>L27+M27+N27</f>
        <v>0</v>
      </c>
    </row>
    <row r="29" spans="2:21" ht="18.75" x14ac:dyDescent="0.3">
      <c r="B29" s="1" t="s">
        <v>20</v>
      </c>
      <c r="C29" s="13"/>
      <c r="D29" s="13"/>
      <c r="E29" s="527">
        <v>2</v>
      </c>
      <c r="F29" s="13"/>
      <c r="G29" s="13"/>
      <c r="H29" s="527">
        <v>2</v>
      </c>
      <c r="I29" s="13"/>
      <c r="J29" s="13"/>
      <c r="K29" s="527">
        <v>2</v>
      </c>
      <c r="L29" s="13"/>
      <c r="M29" s="13"/>
      <c r="N29" s="527">
        <v>2</v>
      </c>
    </row>
    <row r="30" spans="2:21" ht="15" customHeight="1" x14ac:dyDescent="0.3">
      <c r="B30" s="1" t="s">
        <v>17</v>
      </c>
      <c r="C30" s="62"/>
      <c r="D30" s="62"/>
      <c r="E30" s="528">
        <f>E28-E29</f>
        <v>-2</v>
      </c>
      <c r="F30" s="62"/>
      <c r="G30" s="62"/>
      <c r="H30" s="528">
        <f>H28-H29</f>
        <v>-2</v>
      </c>
      <c r="I30" s="62"/>
      <c r="J30" s="62"/>
      <c r="K30" s="528">
        <f>K28-K29</f>
        <v>-2</v>
      </c>
      <c r="L30" s="62"/>
      <c r="M30" s="62"/>
      <c r="N30" s="528">
        <f>N27-N29</f>
        <v>-2</v>
      </c>
      <c r="Q30" s="1654" t="s">
        <v>393</v>
      </c>
      <c r="R30" s="1654"/>
      <c r="S30" s="1654"/>
      <c r="T30" s="1654"/>
      <c r="U30" s="1654"/>
    </row>
    <row r="31" spans="2:21" ht="15.75" thickBot="1" x14ac:dyDescent="0.3">
      <c r="Q31" s="1654"/>
      <c r="R31" s="1654"/>
      <c r="S31" s="1654"/>
      <c r="T31" s="1654"/>
    </row>
    <row r="32" spans="2:21" ht="27.75" thickTop="1" thickBot="1" x14ac:dyDescent="0.45">
      <c r="E32" s="1658" t="s">
        <v>394</v>
      </c>
      <c r="F32" s="1659"/>
      <c r="G32" s="1659"/>
      <c r="H32" s="1659"/>
      <c r="I32" s="1660"/>
      <c r="Q32" s="942"/>
      <c r="R32" s="942"/>
      <c r="S32" s="942"/>
      <c r="T32" s="942"/>
    </row>
    <row r="33" spans="2:20" ht="15.75" thickTop="1" x14ac:dyDescent="0.25">
      <c r="Q33" s="942"/>
      <c r="R33" s="942"/>
      <c r="S33" s="942"/>
      <c r="T33" s="942"/>
    </row>
    <row r="34" spans="2:20" ht="15.75" thickBot="1" x14ac:dyDescent="0.3">
      <c r="B34" s="20" t="s">
        <v>821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  <c r="Q34" s="942"/>
      <c r="R34" s="942"/>
      <c r="S34" s="942"/>
      <c r="T34" s="942"/>
    </row>
    <row r="35" spans="2:20" ht="18.75" x14ac:dyDescent="0.3">
      <c r="B35" s="12" t="s">
        <v>276</v>
      </c>
      <c r="C35" s="526">
        <f>DATOS!D$68</f>
        <v>0</v>
      </c>
      <c r="D35" s="526">
        <f>DATOS!F$68</f>
        <v>0</v>
      </c>
      <c r="E35" s="526">
        <f>DATOS!H$68</f>
        <v>0</v>
      </c>
      <c r="F35" s="526">
        <f>DATOS!J$68</f>
        <v>0</v>
      </c>
      <c r="G35" s="526">
        <f>DATOS!L$68</f>
        <v>0</v>
      </c>
      <c r="H35" s="526">
        <f>DATOS!N$68</f>
        <v>0</v>
      </c>
      <c r="I35" s="526">
        <f>DATOS!P$68</f>
        <v>0</v>
      </c>
      <c r="J35" s="526">
        <f>DATOS!R$68</f>
        <v>0</v>
      </c>
      <c r="K35" s="526">
        <f>DATOS!T$68</f>
        <v>0</v>
      </c>
      <c r="L35" s="526">
        <f>DATOS!V$68</f>
        <v>0</v>
      </c>
      <c r="M35" s="526">
        <f>DATOS!X$68</f>
        <v>0</v>
      </c>
      <c r="N35" s="526">
        <f>DATOS!Z$68</f>
        <v>0</v>
      </c>
      <c r="Q35" s="942"/>
      <c r="R35" s="942"/>
      <c r="S35" s="942"/>
      <c r="T35" s="942"/>
    </row>
    <row r="36" spans="2:20" ht="18.75" x14ac:dyDescent="0.3">
      <c r="B36" s="77" t="s">
        <v>27</v>
      </c>
      <c r="C36" s="85"/>
      <c r="D36" s="85"/>
      <c r="E36" s="83">
        <f>C35+D35+E35</f>
        <v>0</v>
      </c>
      <c r="F36" s="85"/>
      <c r="G36" s="85"/>
      <c r="H36" s="83">
        <f>F35+G35+H35</f>
        <v>0</v>
      </c>
      <c r="I36" s="85"/>
      <c r="J36" s="85"/>
      <c r="K36" s="83">
        <f>I35+J35+K35</f>
        <v>0</v>
      </c>
      <c r="L36" s="85"/>
      <c r="M36" s="85"/>
      <c r="N36" s="83">
        <f>L35+M35+N35</f>
        <v>0</v>
      </c>
      <c r="Q36" s="942"/>
      <c r="R36" s="942"/>
      <c r="S36" s="942"/>
      <c r="T36" s="942"/>
    </row>
    <row r="37" spans="2:20" ht="18.75" x14ac:dyDescent="0.3">
      <c r="B37" s="1" t="s">
        <v>20</v>
      </c>
      <c r="C37" s="13"/>
      <c r="D37" s="13"/>
      <c r="E37" s="527">
        <v>2</v>
      </c>
      <c r="F37" s="13"/>
      <c r="G37" s="13"/>
      <c r="H37" s="527">
        <v>2</v>
      </c>
      <c r="I37" s="13"/>
      <c r="J37" s="13"/>
      <c r="K37" s="527">
        <v>2</v>
      </c>
      <c r="L37" s="13"/>
      <c r="M37" s="13"/>
      <c r="N37" s="527">
        <v>2</v>
      </c>
      <c r="Q37" s="942"/>
      <c r="R37" s="942"/>
      <c r="S37" s="942"/>
      <c r="T37" s="942"/>
    </row>
    <row r="38" spans="2:20" ht="18.75" x14ac:dyDescent="0.3">
      <c r="B38" s="1" t="s">
        <v>17</v>
      </c>
      <c r="C38" s="62"/>
      <c r="D38" s="62"/>
      <c r="E38" s="528">
        <f>E36-E37</f>
        <v>-2</v>
      </c>
      <c r="F38" s="62"/>
      <c r="G38" s="62"/>
      <c r="H38" s="528">
        <f>H36-H37</f>
        <v>-2</v>
      </c>
      <c r="I38" s="62"/>
      <c r="J38" s="62"/>
      <c r="K38" s="528">
        <f>K36-K37</f>
        <v>-2</v>
      </c>
      <c r="L38" s="62"/>
      <c r="M38" s="62"/>
      <c r="N38" s="528">
        <f>N35-N37</f>
        <v>-2</v>
      </c>
      <c r="Q38" s="942"/>
      <c r="R38" s="942"/>
      <c r="S38" s="942"/>
      <c r="T38" s="942"/>
    </row>
    <row r="39" spans="2:20" ht="15.75" thickBot="1" x14ac:dyDescent="0.3">
      <c r="Q39" s="1654" t="s">
        <v>52</v>
      </c>
      <c r="R39" s="1654"/>
      <c r="S39" s="1654"/>
      <c r="T39" s="1654"/>
    </row>
    <row r="40" spans="2:20" ht="27.75" thickTop="1" thickBot="1" x14ac:dyDescent="0.45">
      <c r="E40" s="1658" t="s">
        <v>44</v>
      </c>
      <c r="F40" s="1659"/>
      <c r="G40" s="1659"/>
      <c r="H40" s="1659"/>
      <c r="I40" s="1659"/>
      <c r="J40" s="1663"/>
    </row>
    <row r="41" spans="2:20" ht="15.75" thickTop="1" x14ac:dyDescent="0.25"/>
    <row r="42" spans="2:20" ht="15.75" thickBot="1" x14ac:dyDescent="0.3">
      <c r="B42" s="20" t="s">
        <v>821</v>
      </c>
      <c r="C42" s="21" t="s">
        <v>0</v>
      </c>
      <c r="D42" s="21" t="s">
        <v>1</v>
      </c>
      <c r="E42" s="21" t="s">
        <v>2</v>
      </c>
      <c r="F42" s="21" t="s">
        <v>3</v>
      </c>
      <c r="G42" s="21" t="s">
        <v>4</v>
      </c>
      <c r="H42" s="21" t="s">
        <v>5</v>
      </c>
      <c r="I42" s="21" t="s">
        <v>6</v>
      </c>
      <c r="J42" s="21" t="s">
        <v>7</v>
      </c>
      <c r="K42" s="21" t="s">
        <v>8</v>
      </c>
      <c r="L42" s="21" t="s">
        <v>9</v>
      </c>
      <c r="M42" s="21" t="s">
        <v>10</v>
      </c>
      <c r="N42" s="22" t="s">
        <v>11</v>
      </c>
    </row>
    <row r="43" spans="2:20" x14ac:dyDescent="0.25">
      <c r="B43" s="73" t="s">
        <v>45</v>
      </c>
      <c r="C43" s="74">
        <f>DATOS!D$3</f>
        <v>100491.06</v>
      </c>
      <c r="D43" s="74">
        <f>DATOS!F$3</f>
        <v>140829.41</v>
      </c>
      <c r="E43" s="74">
        <f>DATOS!H$3</f>
        <v>78383.17</v>
      </c>
      <c r="F43" s="74">
        <f>DATOS!J$3</f>
        <v>115177.02</v>
      </c>
      <c r="G43" s="74">
        <f>DATOS!L$3</f>
        <v>131578.49</v>
      </c>
      <c r="H43" s="74">
        <f>DATOS!N$3</f>
        <v>146938.93</v>
      </c>
      <c r="I43" s="74">
        <f>DATOS!P$3</f>
        <v>1171781.1100000001</v>
      </c>
      <c r="J43" s="74">
        <f>DATOS!R$3</f>
        <v>15263.97</v>
      </c>
      <c r="K43" s="74">
        <f>DATOS!T$3</f>
        <v>163103.23000000001</v>
      </c>
      <c r="L43" s="74">
        <f>DATOS!V$3</f>
        <v>168743.54</v>
      </c>
      <c r="M43" s="74">
        <f>DATOS!X$3</f>
        <v>154602.73000000001</v>
      </c>
      <c r="N43" s="74">
        <f>DATOS!Z$3</f>
        <v>49042.68</v>
      </c>
    </row>
    <row r="44" spans="2:20" x14ac:dyDescent="0.25">
      <c r="B44" s="12" t="s">
        <v>46</v>
      </c>
      <c r="C44" s="14">
        <v>82562.87</v>
      </c>
      <c r="D44" s="16">
        <f>C$43</f>
        <v>100491.06</v>
      </c>
      <c r="E44" s="16">
        <f t="shared" ref="E44:N44" si="2">D$43</f>
        <v>140829.41</v>
      </c>
      <c r="F44" s="16">
        <f t="shared" si="2"/>
        <v>78383.17</v>
      </c>
      <c r="G44" s="16">
        <f t="shared" si="2"/>
        <v>115177.02</v>
      </c>
      <c r="H44" s="16">
        <f t="shared" si="2"/>
        <v>131578.49</v>
      </c>
      <c r="I44" s="16">
        <f t="shared" si="2"/>
        <v>146938.93</v>
      </c>
      <c r="J44" s="16">
        <f t="shared" si="2"/>
        <v>1171781.1100000001</v>
      </c>
      <c r="K44" s="16">
        <f t="shared" si="2"/>
        <v>15263.97</v>
      </c>
      <c r="L44" s="16">
        <f t="shared" si="2"/>
        <v>163103.23000000001</v>
      </c>
      <c r="M44" s="16">
        <f t="shared" si="2"/>
        <v>168743.54</v>
      </c>
      <c r="N44" s="16">
        <f t="shared" si="2"/>
        <v>154602.73000000001</v>
      </c>
    </row>
    <row r="45" spans="2:20" ht="18.75" x14ac:dyDescent="0.3">
      <c r="B45" s="77" t="s">
        <v>27</v>
      </c>
      <c r="C45" s="368">
        <f>(C$43/C$44)-1</f>
        <v>0.21714591559135488</v>
      </c>
      <c r="D45" s="376">
        <f t="shared" ref="D45:N45" si="3">(D$43/D$44)-1</f>
        <v>0.40141232463862964</v>
      </c>
      <c r="E45" s="376">
        <f t="shared" si="3"/>
        <v>-0.44341760716032252</v>
      </c>
      <c r="F45" s="376">
        <f t="shared" si="3"/>
        <v>0.46941007871970486</v>
      </c>
      <c r="G45" s="368">
        <f t="shared" si="3"/>
        <v>0.14240227781548764</v>
      </c>
      <c r="H45" s="376">
        <f t="shared" si="3"/>
        <v>0.11673974978737034</v>
      </c>
      <c r="I45" s="376">
        <f t="shared" si="3"/>
        <v>6.9746130586359936</v>
      </c>
      <c r="J45" s="376">
        <f t="shared" si="3"/>
        <v>-0.98697370193994682</v>
      </c>
      <c r="K45" s="368">
        <f t="shared" si="3"/>
        <v>9.6855051470882092</v>
      </c>
      <c r="L45" s="368">
        <f t="shared" si="3"/>
        <v>3.4581228097076977E-2</v>
      </c>
      <c r="M45" s="368">
        <f t="shared" si="3"/>
        <v>-8.3800600603732733E-2</v>
      </c>
      <c r="N45" s="376">
        <f t="shared" si="3"/>
        <v>-0.6827825744086149</v>
      </c>
    </row>
    <row r="46" spans="2:20" x14ac:dyDescent="0.25">
      <c r="B46" s="1" t="s">
        <v>20</v>
      </c>
      <c r="C46" s="369">
        <v>0.04</v>
      </c>
      <c r="D46" s="369">
        <v>0.04</v>
      </c>
      <c r="E46" s="369">
        <v>0.04</v>
      </c>
      <c r="F46" s="369">
        <v>0.04</v>
      </c>
      <c r="G46" s="369">
        <v>0.04</v>
      </c>
      <c r="H46" s="369">
        <v>0.04</v>
      </c>
      <c r="I46" s="369">
        <v>0.04</v>
      </c>
      <c r="J46" s="369">
        <v>0.04</v>
      </c>
      <c r="K46" s="369">
        <v>0.04</v>
      </c>
      <c r="L46" s="369">
        <v>0.04</v>
      </c>
      <c r="M46" s="369">
        <v>0.04</v>
      </c>
      <c r="N46" s="369">
        <v>0.04</v>
      </c>
    </row>
    <row r="47" spans="2:20" x14ac:dyDescent="0.25">
      <c r="B47" s="8" t="s">
        <v>17</v>
      </c>
      <c r="C47" s="9">
        <f>C$45-C$46</f>
        <v>0.17714591559135487</v>
      </c>
      <c r="D47" s="10">
        <f t="shared" ref="D47:N47" si="4">D$45-D$46</f>
        <v>0.36141232463862966</v>
      </c>
      <c r="E47" s="10">
        <f t="shared" si="4"/>
        <v>-0.4834176071603225</v>
      </c>
      <c r="F47" s="10">
        <f t="shared" si="4"/>
        <v>0.42941007871970488</v>
      </c>
      <c r="G47" s="9">
        <f t="shared" si="4"/>
        <v>0.10240227781548764</v>
      </c>
      <c r="H47" s="10">
        <f t="shared" si="4"/>
        <v>7.6739749787370332E-2</v>
      </c>
      <c r="I47" s="10">
        <f t="shared" si="4"/>
        <v>6.9346130586359935</v>
      </c>
      <c r="J47" s="10">
        <f t="shared" si="4"/>
        <v>-1.0269737019399467</v>
      </c>
      <c r="K47" s="9">
        <f t="shared" si="4"/>
        <v>9.6455051470882101</v>
      </c>
      <c r="L47" s="9">
        <f t="shared" si="4"/>
        <v>-5.4187719029230239E-3</v>
      </c>
      <c r="M47" s="10">
        <f t="shared" si="4"/>
        <v>-0.12380060060373274</v>
      </c>
      <c r="N47" s="10">
        <f t="shared" si="4"/>
        <v>-0.72278257440861493</v>
      </c>
      <c r="R47" s="1654"/>
      <c r="S47" s="1654"/>
    </row>
    <row r="48" spans="2:20" ht="15.75" thickBot="1" x14ac:dyDescent="0.3"/>
    <row r="49" spans="2:20" ht="27.75" thickTop="1" thickBot="1" x14ac:dyDescent="0.45">
      <c r="E49" s="1658" t="s">
        <v>47</v>
      </c>
      <c r="F49" s="1659"/>
      <c r="G49" s="1659"/>
      <c r="H49" s="1659"/>
      <c r="I49" s="1660"/>
      <c r="Q49" s="1654" t="s">
        <v>47</v>
      </c>
      <c r="R49" s="1654"/>
      <c r="S49" s="1654"/>
      <c r="T49" s="1654"/>
    </row>
    <row r="50" spans="2:20" ht="15.75" thickTop="1" x14ac:dyDescent="0.25">
      <c r="R50" s="1654"/>
      <c r="S50" s="1664"/>
    </row>
    <row r="51" spans="2:20" x14ac:dyDescent="0.25">
      <c r="B51" s="66" t="s">
        <v>821</v>
      </c>
      <c r="C51" s="65" t="s">
        <v>0</v>
      </c>
      <c r="D51" s="65" t="s">
        <v>1</v>
      </c>
      <c r="E51" s="65" t="s">
        <v>2</v>
      </c>
      <c r="F51" s="65" t="s">
        <v>3</v>
      </c>
      <c r="G51" s="65" t="s">
        <v>4</v>
      </c>
      <c r="H51" s="65" t="s">
        <v>5</v>
      </c>
      <c r="I51" s="65" t="s">
        <v>6</v>
      </c>
      <c r="J51" s="65" t="s">
        <v>7</v>
      </c>
      <c r="K51" s="65" t="s">
        <v>8</v>
      </c>
      <c r="L51" s="65" t="s">
        <v>9</v>
      </c>
      <c r="M51" s="65" t="s">
        <v>10</v>
      </c>
      <c r="N51" s="67" t="s">
        <v>11</v>
      </c>
    </row>
    <row r="52" spans="2:20" x14ac:dyDescent="0.25">
      <c r="B52" s="481" t="s">
        <v>375</v>
      </c>
      <c r="C52" s="482">
        <f>DATOS!D$3</f>
        <v>100491.06</v>
      </c>
      <c r="D52" s="482">
        <f>DATOS!F$3</f>
        <v>140829.41</v>
      </c>
      <c r="E52" s="482">
        <f>DATOS!H$3</f>
        <v>78383.17</v>
      </c>
      <c r="F52" s="482">
        <f>DATOS!J$3</f>
        <v>115177.02</v>
      </c>
      <c r="G52" s="482">
        <f>DATOS!L$3</f>
        <v>131578.49</v>
      </c>
      <c r="H52" s="482">
        <f>DATOS!N$3</f>
        <v>146938.93</v>
      </c>
      <c r="I52" s="482">
        <f>DATOS!P$3</f>
        <v>1171781.1100000001</v>
      </c>
      <c r="J52" s="482">
        <f>DATOS!R$3</f>
        <v>15263.97</v>
      </c>
      <c r="K52" s="482">
        <f>DATOS!T$3</f>
        <v>163103.23000000001</v>
      </c>
      <c r="L52" s="482">
        <f>DATOS!V$3</f>
        <v>168743.54</v>
      </c>
      <c r="M52" s="482">
        <f>DATOS!X$3</f>
        <v>154602.73000000001</v>
      </c>
      <c r="N52" s="482">
        <f>DATOS!Z$3</f>
        <v>49042.68</v>
      </c>
    </row>
    <row r="53" spans="2:20" x14ac:dyDescent="0.25">
      <c r="B53" s="481" t="s">
        <v>376</v>
      </c>
      <c r="C53" s="482">
        <f>DATOS!D95</f>
        <v>100491.06</v>
      </c>
      <c r="D53" s="482">
        <f>DATOS!F95</f>
        <v>140829.41</v>
      </c>
      <c r="E53" s="482">
        <f>DATOS!H95</f>
        <v>106991.09</v>
      </c>
      <c r="F53" s="482">
        <f>DATOS!J95</f>
        <v>115177.02</v>
      </c>
      <c r="G53" s="482">
        <f>DATOS!L95</f>
        <v>131578.49</v>
      </c>
      <c r="H53" s="482">
        <f>DATOS!N95</f>
        <v>146938.93</v>
      </c>
      <c r="I53" s="482">
        <f>DATOS!P95</f>
        <v>1171781.1100000001</v>
      </c>
      <c r="J53" s="482">
        <f>DATOS!R95</f>
        <v>15263.97</v>
      </c>
      <c r="K53" s="482">
        <f>DATOS!T95</f>
        <v>163103.23000000001</v>
      </c>
      <c r="L53" s="482">
        <f>DATOS!V95</f>
        <v>168743.54</v>
      </c>
      <c r="M53" s="482">
        <f>DATOS!X95</f>
        <v>154602.73000000001</v>
      </c>
      <c r="N53" s="482">
        <f>DATOS!Z95</f>
        <v>126420.76</v>
      </c>
    </row>
    <row r="54" spans="2:20" x14ac:dyDescent="0.25">
      <c r="B54" s="481" t="s">
        <v>377</v>
      </c>
      <c r="C54" s="369">
        <f>C$53/C$52</f>
        <v>1</v>
      </c>
      <c r="D54" s="369">
        <f t="shared" ref="D54:N54" si="5">D$53/D$52</f>
        <v>1</v>
      </c>
      <c r="E54" s="369">
        <f t="shared" si="5"/>
        <v>1.3649752874245835</v>
      </c>
      <c r="F54" s="369">
        <f t="shared" si="5"/>
        <v>1</v>
      </c>
      <c r="G54" s="369">
        <f t="shared" si="5"/>
        <v>1</v>
      </c>
      <c r="H54" s="369">
        <f t="shared" si="5"/>
        <v>1</v>
      </c>
      <c r="I54" s="369">
        <f t="shared" si="5"/>
        <v>1</v>
      </c>
      <c r="J54" s="369">
        <f t="shared" si="5"/>
        <v>1</v>
      </c>
      <c r="K54" s="369">
        <f t="shared" si="5"/>
        <v>1</v>
      </c>
      <c r="L54" s="369">
        <f t="shared" si="5"/>
        <v>1</v>
      </c>
      <c r="M54" s="369">
        <f t="shared" si="5"/>
        <v>1</v>
      </c>
      <c r="N54" s="369">
        <f t="shared" si="5"/>
        <v>2.5777702197351369</v>
      </c>
    </row>
    <row r="55" spans="2:20" ht="18.75" x14ac:dyDescent="0.3">
      <c r="B55" s="77" t="s">
        <v>27</v>
      </c>
      <c r="C55" s="81"/>
      <c r="D55" s="81"/>
      <c r="E55" s="368">
        <f>((C53+D53+E53)/(C52+D52+E52))</f>
        <v>1.0894826220933862</v>
      </c>
      <c r="F55" s="81"/>
      <c r="G55" s="81"/>
      <c r="H55" s="368">
        <f>((F53+G53+H53)/(F52+G52+H52))</f>
        <v>1</v>
      </c>
      <c r="I55" s="81"/>
      <c r="J55" s="81"/>
      <c r="K55" s="368">
        <f>((I53+J53+K53)/(I52+J52+K52))</f>
        <v>1</v>
      </c>
      <c r="L55" s="81"/>
      <c r="M55" s="81"/>
      <c r="N55" s="79">
        <f>((L53+M53+N53)/(L52+M52+N52))</f>
        <v>1.2077883352876073</v>
      </c>
    </row>
    <row r="56" spans="2:20" x14ac:dyDescent="0.25">
      <c r="B56" s="1" t="s">
        <v>20</v>
      </c>
      <c r="C56" s="17"/>
      <c r="D56" s="17"/>
      <c r="E56" s="483">
        <v>0.85</v>
      </c>
      <c r="F56" s="17"/>
      <c r="G56" s="17"/>
      <c r="H56" s="483">
        <v>0.85</v>
      </c>
      <c r="I56" s="17"/>
      <c r="J56" s="17"/>
      <c r="K56" s="483">
        <v>0.85</v>
      </c>
      <c r="L56" s="17"/>
      <c r="M56" s="17"/>
      <c r="N56" s="483">
        <v>0.85</v>
      </c>
      <c r="T56" s="941"/>
    </row>
    <row r="57" spans="2:20" x14ac:dyDescent="0.25">
      <c r="B57" s="1" t="s">
        <v>17</v>
      </c>
      <c r="C57" s="36"/>
      <c r="D57" s="36"/>
      <c r="E57" s="484">
        <f>E56-E55</f>
        <v>-0.23948262209338622</v>
      </c>
      <c r="F57" s="36"/>
      <c r="G57" s="36"/>
      <c r="H57" s="484">
        <f>H56-H55</f>
        <v>-0.15000000000000002</v>
      </c>
      <c r="I57" s="36"/>
      <c r="J57" s="36"/>
      <c r="K57" s="484">
        <f>K56-K55</f>
        <v>-0.15000000000000002</v>
      </c>
      <c r="L57" s="36"/>
      <c r="M57" s="36"/>
      <c r="N57" s="484">
        <f>N56-N55</f>
        <v>-0.35778833528760734</v>
      </c>
    </row>
    <row r="58" spans="2:20" ht="15.75" thickBot="1" x14ac:dyDescent="0.3"/>
    <row r="59" spans="2:20" ht="27.75" thickTop="1" thickBot="1" x14ac:dyDescent="0.45">
      <c r="C59" s="38"/>
      <c r="D59" s="1658" t="s">
        <v>48</v>
      </c>
      <c r="E59" s="1659"/>
      <c r="F59" s="1659"/>
      <c r="G59" s="1659"/>
      <c r="H59" s="1659"/>
      <c r="I59" s="1659"/>
      <c r="J59" s="1660"/>
      <c r="K59" s="39"/>
      <c r="L59" s="39"/>
      <c r="M59" s="39"/>
      <c r="Q59" s="1654"/>
      <c r="R59" s="1654"/>
      <c r="S59" s="1654"/>
      <c r="T59" s="1654"/>
    </row>
    <row r="60" spans="2:20" ht="15.75" thickTop="1" x14ac:dyDescent="0.25">
      <c r="Q60" s="1654" t="s">
        <v>53</v>
      </c>
      <c r="R60" s="1654"/>
      <c r="S60" s="1654"/>
      <c r="T60" s="1654"/>
    </row>
    <row r="61" spans="2:20" ht="15.75" thickBot="1" x14ac:dyDescent="0.3">
      <c r="B61" s="40" t="s">
        <v>821</v>
      </c>
      <c r="C61" s="40" t="s">
        <v>49</v>
      </c>
    </row>
    <row r="62" spans="2:20" ht="18.75" x14ac:dyDescent="0.3">
      <c r="B62" s="77" t="s">
        <v>27</v>
      </c>
      <c r="C62" s="706">
        <f>DATOS!Z69</f>
        <v>0</v>
      </c>
    </row>
    <row r="63" spans="2:20" x14ac:dyDescent="0.25">
      <c r="B63" s="1" t="s">
        <v>20</v>
      </c>
      <c r="C63" s="17">
        <v>6</v>
      </c>
    </row>
    <row r="64" spans="2:20" x14ac:dyDescent="0.25">
      <c r="B64" s="8" t="s">
        <v>17</v>
      </c>
      <c r="C64" s="707">
        <f>C62-C63</f>
        <v>-6</v>
      </c>
    </row>
    <row r="66" spans="2:21" ht="26.25" x14ac:dyDescent="0.4">
      <c r="C66" s="943"/>
      <c r="D66" s="943"/>
      <c r="E66" s="943"/>
      <c r="F66" s="943"/>
      <c r="G66" s="943"/>
      <c r="H66" s="943"/>
      <c r="I66" s="943"/>
      <c r="J66" s="943"/>
      <c r="K66" s="943"/>
      <c r="L66" s="943"/>
      <c r="M66" s="943"/>
    </row>
    <row r="67" spans="2:21" x14ac:dyDescent="0.25">
      <c r="Q67" s="1654"/>
      <c r="R67" s="1654"/>
      <c r="S67" s="1654"/>
      <c r="T67" s="1654"/>
    </row>
    <row r="68" spans="2:21" ht="15.75" thickBot="1" x14ac:dyDescent="0.3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2:21" ht="27.75" thickTop="1" thickBot="1" x14ac:dyDescent="0.45">
      <c r="C69" s="38"/>
      <c r="D69" s="1658" t="s">
        <v>396</v>
      </c>
      <c r="E69" s="1659"/>
      <c r="F69" s="1659"/>
      <c r="G69" s="1659"/>
      <c r="H69" s="1659"/>
      <c r="I69" s="1659"/>
      <c r="J69" s="1660"/>
      <c r="K69" s="44"/>
      <c r="L69" s="44"/>
      <c r="M69" s="44"/>
      <c r="N69" s="44"/>
    </row>
    <row r="70" spans="2:21" ht="15.75" thickTop="1" x14ac:dyDescent="0.25">
      <c r="K70" s="46"/>
      <c r="L70" s="46"/>
      <c r="M70" s="46"/>
      <c r="N70" s="46"/>
    </row>
    <row r="71" spans="2:21" ht="15.75" thickBot="1" x14ac:dyDescent="0.3">
      <c r="B71" s="40" t="s">
        <v>821</v>
      </c>
      <c r="C71" s="40" t="s">
        <v>49</v>
      </c>
      <c r="K71" s="47"/>
      <c r="L71" s="47"/>
      <c r="M71" s="47"/>
      <c r="N71" s="47"/>
      <c r="Q71" s="1665" t="s">
        <v>396</v>
      </c>
      <c r="R71" s="1665"/>
      <c r="S71" s="1665"/>
      <c r="T71" s="1665"/>
      <c r="U71" s="1665"/>
    </row>
    <row r="72" spans="2:21" ht="18.75" x14ac:dyDescent="0.3">
      <c r="B72" s="77" t="s">
        <v>27</v>
      </c>
      <c r="C72" s="368">
        <f>DATOS!Z70</f>
        <v>0</v>
      </c>
      <c r="R72" s="1654"/>
      <c r="S72" s="1654"/>
      <c r="T72" s="1654"/>
      <c r="U72" s="1654"/>
    </row>
    <row r="73" spans="2:21" x14ac:dyDescent="0.25">
      <c r="B73" s="1" t="s">
        <v>20</v>
      </c>
      <c r="C73" s="686">
        <v>0.06</v>
      </c>
    </row>
    <row r="74" spans="2:21" x14ac:dyDescent="0.25">
      <c r="B74" s="8" t="s">
        <v>17</v>
      </c>
      <c r="C74" s="370">
        <f>C73-C72</f>
        <v>0.06</v>
      </c>
    </row>
    <row r="75" spans="2:21" x14ac:dyDescent="0.25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1" x14ac:dyDescent="0.25"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Q76" s="1654"/>
      <c r="R76" s="1654"/>
      <c r="S76" s="1654"/>
      <c r="T76" s="1654"/>
    </row>
    <row r="77" spans="2:21" x14ac:dyDescent="0.25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 spans="2:21" x14ac:dyDescent="0.25"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 spans="2:21" x14ac:dyDescent="0.2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21" x14ac:dyDescent="0.25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2:14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6" spans="2:14" s="1189" customFormat="1" ht="34.5" customHeight="1" x14ac:dyDescent="0.25">
      <c r="D86" s="1667"/>
      <c r="E86" s="1667"/>
      <c r="F86" s="1667"/>
      <c r="G86" s="1667"/>
      <c r="H86" s="1667"/>
      <c r="I86" s="1667"/>
      <c r="J86" s="1667"/>
    </row>
    <row r="87" spans="2:14" s="1189" customFormat="1" x14ac:dyDescent="0.25"/>
    <row r="88" spans="2:14" s="1189" customFormat="1" x14ac:dyDescent="0.25"/>
    <row r="89" spans="2:14" s="1189" customFormat="1" x14ac:dyDescent="0.25">
      <c r="B89" s="41"/>
      <c r="C89" s="41"/>
    </row>
    <row r="90" spans="2:14" s="1189" customFormat="1" ht="18.75" x14ac:dyDescent="0.3">
      <c r="B90" s="1190"/>
      <c r="C90" s="1191"/>
    </row>
    <row r="91" spans="2:14" s="1189" customFormat="1" x14ac:dyDescent="0.25">
      <c r="C91" s="1192"/>
    </row>
    <row r="92" spans="2:14" s="1189" customFormat="1" x14ac:dyDescent="0.25">
      <c r="C92" s="1192"/>
    </row>
    <row r="93" spans="2:14" s="1189" customFormat="1" x14ac:dyDescent="0.25"/>
    <row r="94" spans="2:14" s="1189" customFormat="1" x14ac:dyDescent="0.25"/>
    <row r="95" spans="2:14" s="1189" customFormat="1" x14ac:dyDescent="0.25"/>
    <row r="96" spans="2:14" s="1189" customFormat="1" x14ac:dyDescent="0.25"/>
    <row r="97" spans="2:10" s="1189" customFormat="1" x14ac:dyDescent="0.25"/>
    <row r="98" spans="2:10" s="1189" customFormat="1" x14ac:dyDescent="0.25"/>
    <row r="99" spans="2:10" s="1189" customFormat="1" x14ac:dyDescent="0.25"/>
    <row r="100" spans="2:10" s="1189" customFormat="1" x14ac:dyDescent="0.25"/>
    <row r="101" spans="2:10" s="1189" customFormat="1" ht="30" customHeight="1" x14ac:dyDescent="0.25">
      <c r="D101" s="1667"/>
      <c r="E101" s="1667"/>
      <c r="F101" s="1667"/>
      <c r="G101" s="1667"/>
      <c r="H101" s="1667"/>
      <c r="I101" s="1667"/>
      <c r="J101" s="1667"/>
    </row>
    <row r="102" spans="2:10" s="1189" customFormat="1" x14ac:dyDescent="0.25"/>
    <row r="103" spans="2:10" s="1189" customFormat="1" x14ac:dyDescent="0.25"/>
    <row r="104" spans="2:10" s="1189" customFormat="1" x14ac:dyDescent="0.25">
      <c r="B104" s="41"/>
      <c r="C104" s="41"/>
      <c r="D104" s="41"/>
      <c r="E104" s="41"/>
    </row>
    <row r="105" spans="2:10" s="1189" customFormat="1" ht="18.75" x14ac:dyDescent="0.3">
      <c r="B105" s="1190"/>
      <c r="C105" s="1191"/>
      <c r="D105" s="1191"/>
      <c r="E105" s="1191"/>
    </row>
    <row r="106" spans="2:10" s="1189" customFormat="1" x14ac:dyDescent="0.25">
      <c r="C106" s="1192"/>
      <c r="D106" s="1192"/>
      <c r="E106" s="1192"/>
    </row>
    <row r="107" spans="2:10" s="1189" customFormat="1" x14ac:dyDescent="0.25">
      <c r="C107" s="1192"/>
      <c r="D107" s="1192"/>
      <c r="E107" s="1192"/>
    </row>
    <row r="108" spans="2:10" s="1189" customFormat="1" x14ac:dyDescent="0.25"/>
    <row r="109" spans="2:10" s="1189" customFormat="1" x14ac:dyDescent="0.25"/>
    <row r="110" spans="2:10" s="1189" customFormat="1" x14ac:dyDescent="0.25"/>
    <row r="111" spans="2:10" s="1189" customFormat="1" x14ac:dyDescent="0.25"/>
    <row r="112" spans="2:10" s="1189" customFormat="1" x14ac:dyDescent="0.25"/>
    <row r="113" spans="2:14" s="1189" customFormat="1" x14ac:dyDescent="0.25"/>
    <row r="114" spans="2:14" s="1189" customFormat="1" x14ac:dyDescent="0.25"/>
    <row r="115" spans="2:14" s="1189" customFormat="1" ht="35.25" customHeight="1" x14ac:dyDescent="0.25">
      <c r="D115" s="1667"/>
      <c r="E115" s="1667"/>
      <c r="F115" s="1667"/>
      <c r="G115" s="1667"/>
      <c r="H115" s="1667"/>
      <c r="I115" s="1667"/>
      <c r="J115" s="1667"/>
    </row>
    <row r="116" spans="2:14" s="1189" customFormat="1" x14ac:dyDescent="0.25"/>
    <row r="117" spans="2:14" s="1189" customFormat="1" x14ac:dyDescent="0.25"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2:14" s="1189" customFormat="1" ht="18.75" x14ac:dyDescent="0.3">
      <c r="B118" s="51"/>
      <c r="C118" s="1193"/>
      <c r="D118" s="1193"/>
      <c r="E118" s="1193"/>
      <c r="F118" s="1193"/>
      <c r="G118" s="1193"/>
      <c r="H118" s="1193"/>
      <c r="I118" s="1193"/>
      <c r="J118" s="1193"/>
      <c r="K118" s="1193"/>
      <c r="L118" s="1193"/>
      <c r="M118" s="1193"/>
      <c r="N118" s="1193"/>
    </row>
    <row r="119" spans="2:14" s="1189" customFormat="1" ht="18.75" x14ac:dyDescent="0.3">
      <c r="B119" s="1190"/>
      <c r="C119" s="1194"/>
      <c r="D119" s="1194"/>
      <c r="E119" s="1195"/>
      <c r="F119" s="1194"/>
      <c r="G119" s="1194"/>
      <c r="H119" s="1195"/>
      <c r="I119" s="1194"/>
      <c r="J119" s="1194"/>
      <c r="K119" s="1195"/>
      <c r="L119" s="1194"/>
      <c r="M119" s="1194"/>
      <c r="N119" s="1194"/>
    </row>
    <row r="120" spans="2:14" s="1189" customFormat="1" ht="18.75" x14ac:dyDescent="0.3">
      <c r="C120" s="1196"/>
      <c r="D120" s="1196"/>
      <c r="E120" s="1197"/>
      <c r="F120" s="1196"/>
      <c r="G120" s="1196"/>
      <c r="H120" s="1197"/>
      <c r="I120" s="1196"/>
      <c r="J120" s="1196"/>
      <c r="K120" s="1197"/>
      <c r="L120" s="1196"/>
      <c r="M120" s="1196"/>
      <c r="N120" s="1197"/>
    </row>
    <row r="121" spans="2:14" s="1189" customFormat="1" ht="18.75" x14ac:dyDescent="0.3">
      <c r="C121" s="1198"/>
      <c r="D121" s="1198"/>
      <c r="E121" s="1199"/>
      <c r="F121" s="1198"/>
      <c r="G121" s="1198"/>
      <c r="H121" s="1199"/>
      <c r="I121" s="1198"/>
      <c r="J121" s="1198"/>
      <c r="K121" s="1199"/>
      <c r="L121" s="1198"/>
      <c r="M121" s="1198"/>
      <c r="N121" s="1199"/>
    </row>
  </sheetData>
  <mergeCells count="29">
    <mergeCell ref="Q67:T67"/>
    <mergeCell ref="D69:J69"/>
    <mergeCell ref="D86:J86"/>
    <mergeCell ref="D101:J101"/>
    <mergeCell ref="D115:J115"/>
    <mergeCell ref="R72:U72"/>
    <mergeCell ref="Q76:T76"/>
    <mergeCell ref="Q71:U71"/>
    <mergeCell ref="Q39:T39"/>
    <mergeCell ref="E40:J40"/>
    <mergeCell ref="R47:S47"/>
    <mergeCell ref="E49:I49"/>
    <mergeCell ref="Q49:T49"/>
    <mergeCell ref="D59:J59"/>
    <mergeCell ref="Q59:T59"/>
    <mergeCell ref="Q60:T60"/>
    <mergeCell ref="P17:U17"/>
    <mergeCell ref="R1:S1"/>
    <mergeCell ref="E4:I4"/>
    <mergeCell ref="P12:U12"/>
    <mergeCell ref="P13:U13"/>
    <mergeCell ref="C14:M14"/>
    <mergeCell ref="R50:S50"/>
    <mergeCell ref="R20:S20"/>
    <mergeCell ref="Q22:U22"/>
    <mergeCell ref="E24:I24"/>
    <mergeCell ref="Q30:U30"/>
    <mergeCell ref="Q31:T31"/>
    <mergeCell ref="E32:I32"/>
  </mergeCells>
  <pageMargins left="0.7" right="0.7" top="0.75" bottom="0.75" header="0.3" footer="0.3"/>
  <ignoredErrors>
    <ignoredError sqref="C53 F52:M53 D52:D53" calculatedColumn="1"/>
    <ignoredError sqref="F54:G54 D54 C54 I54:M54 N54" evalError="1" calculatedColumn="1"/>
    <ignoredError sqref="C56:N56 E54 H54 I45:N47 D45:H47 C19:N22 C9:N12 C55:M55 C57:M57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2969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9697" r:id="rId3"/>
      </mc:Fallback>
    </mc:AlternateContent>
  </oleObjects>
  <tableParts count="8"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7A0418"/>
    <pageSetUpPr fitToPage="1"/>
  </sheetPr>
  <dimension ref="A1:AD41"/>
  <sheetViews>
    <sheetView zoomScale="120" zoomScaleNormal="120" workbookViewId="0">
      <pane xSplit="1" ySplit="3" topLeftCell="B4" activePane="bottomRight" state="frozen"/>
      <selection activeCell="F21" sqref="F21:I21"/>
      <selection pane="topRight" activeCell="F21" sqref="F21:I21"/>
      <selection pane="bottomLeft" activeCell="F21" sqref="F21:I21"/>
      <selection pane="bottomRight" activeCell="D16" sqref="D16"/>
    </sheetView>
  </sheetViews>
  <sheetFormatPr baseColWidth="10" defaultRowHeight="12.75" x14ac:dyDescent="0.2"/>
  <cols>
    <col min="1" max="1" width="53.28515625" style="90" customWidth="1"/>
    <col min="2" max="256" width="10.85546875" style="90"/>
    <col min="257" max="257" width="51.5703125" style="90" customWidth="1"/>
    <col min="258" max="512" width="10.85546875" style="90"/>
    <col min="513" max="513" width="51.5703125" style="90" customWidth="1"/>
    <col min="514" max="768" width="10.85546875" style="90"/>
    <col min="769" max="769" width="51.5703125" style="90" customWidth="1"/>
    <col min="770" max="1024" width="10.85546875" style="90"/>
    <col min="1025" max="1025" width="51.5703125" style="90" customWidth="1"/>
    <col min="1026" max="1280" width="10.85546875" style="90"/>
    <col min="1281" max="1281" width="51.5703125" style="90" customWidth="1"/>
    <col min="1282" max="1536" width="10.85546875" style="90"/>
    <col min="1537" max="1537" width="51.5703125" style="90" customWidth="1"/>
    <col min="1538" max="1792" width="10.85546875" style="90"/>
    <col min="1793" max="1793" width="51.5703125" style="90" customWidth="1"/>
    <col min="1794" max="2048" width="10.85546875" style="90"/>
    <col min="2049" max="2049" width="51.5703125" style="90" customWidth="1"/>
    <col min="2050" max="2304" width="10.85546875" style="90"/>
    <col min="2305" max="2305" width="51.5703125" style="90" customWidth="1"/>
    <col min="2306" max="2560" width="10.85546875" style="90"/>
    <col min="2561" max="2561" width="51.5703125" style="90" customWidth="1"/>
    <col min="2562" max="2816" width="10.85546875" style="90"/>
    <col min="2817" max="2817" width="51.5703125" style="90" customWidth="1"/>
    <col min="2818" max="3072" width="10.85546875" style="90"/>
    <col min="3073" max="3073" width="51.5703125" style="90" customWidth="1"/>
    <col min="3074" max="3328" width="10.85546875" style="90"/>
    <col min="3329" max="3329" width="51.5703125" style="90" customWidth="1"/>
    <col min="3330" max="3584" width="10.85546875" style="90"/>
    <col min="3585" max="3585" width="51.5703125" style="90" customWidth="1"/>
    <col min="3586" max="3840" width="10.85546875" style="90"/>
    <col min="3841" max="3841" width="51.5703125" style="90" customWidth="1"/>
    <col min="3842" max="4096" width="10.85546875" style="90"/>
    <col min="4097" max="4097" width="51.5703125" style="90" customWidth="1"/>
    <col min="4098" max="4352" width="10.85546875" style="90"/>
    <col min="4353" max="4353" width="51.5703125" style="90" customWidth="1"/>
    <col min="4354" max="4608" width="10.85546875" style="90"/>
    <col min="4609" max="4609" width="51.5703125" style="90" customWidth="1"/>
    <col min="4610" max="4864" width="10.85546875" style="90"/>
    <col min="4865" max="4865" width="51.5703125" style="90" customWidth="1"/>
    <col min="4866" max="5120" width="10.85546875" style="90"/>
    <col min="5121" max="5121" width="51.5703125" style="90" customWidth="1"/>
    <col min="5122" max="5376" width="10.85546875" style="90"/>
    <col min="5377" max="5377" width="51.5703125" style="90" customWidth="1"/>
    <col min="5378" max="5632" width="10.85546875" style="90"/>
    <col min="5633" max="5633" width="51.5703125" style="90" customWidth="1"/>
    <col min="5634" max="5888" width="10.85546875" style="90"/>
    <col min="5889" max="5889" width="51.5703125" style="90" customWidth="1"/>
    <col min="5890" max="6144" width="10.85546875" style="90"/>
    <col min="6145" max="6145" width="51.5703125" style="90" customWidth="1"/>
    <col min="6146" max="6400" width="10.85546875" style="90"/>
    <col min="6401" max="6401" width="51.5703125" style="90" customWidth="1"/>
    <col min="6402" max="6656" width="10.85546875" style="90"/>
    <col min="6657" max="6657" width="51.5703125" style="90" customWidth="1"/>
    <col min="6658" max="6912" width="10.85546875" style="90"/>
    <col min="6913" max="6913" width="51.5703125" style="90" customWidth="1"/>
    <col min="6914" max="7168" width="10.85546875" style="90"/>
    <col min="7169" max="7169" width="51.5703125" style="90" customWidth="1"/>
    <col min="7170" max="7424" width="10.85546875" style="90"/>
    <col min="7425" max="7425" width="51.5703125" style="90" customWidth="1"/>
    <col min="7426" max="7680" width="10.85546875" style="90"/>
    <col min="7681" max="7681" width="51.5703125" style="90" customWidth="1"/>
    <col min="7682" max="7936" width="10.85546875" style="90"/>
    <col min="7937" max="7937" width="51.5703125" style="90" customWidth="1"/>
    <col min="7938" max="8192" width="10.85546875" style="90"/>
    <col min="8193" max="8193" width="51.5703125" style="90" customWidth="1"/>
    <col min="8194" max="8448" width="10.85546875" style="90"/>
    <col min="8449" max="8449" width="51.5703125" style="90" customWidth="1"/>
    <col min="8450" max="8704" width="10.85546875" style="90"/>
    <col min="8705" max="8705" width="51.5703125" style="90" customWidth="1"/>
    <col min="8706" max="8960" width="10.85546875" style="90"/>
    <col min="8961" max="8961" width="51.5703125" style="90" customWidth="1"/>
    <col min="8962" max="9216" width="10.85546875" style="90"/>
    <col min="9217" max="9217" width="51.5703125" style="90" customWidth="1"/>
    <col min="9218" max="9472" width="10.85546875" style="90"/>
    <col min="9473" max="9473" width="51.5703125" style="90" customWidth="1"/>
    <col min="9474" max="9728" width="10.85546875" style="90"/>
    <col min="9729" max="9729" width="51.5703125" style="90" customWidth="1"/>
    <col min="9730" max="9984" width="10.85546875" style="90"/>
    <col min="9985" max="9985" width="51.5703125" style="90" customWidth="1"/>
    <col min="9986" max="10240" width="10.85546875" style="90"/>
    <col min="10241" max="10241" width="51.5703125" style="90" customWidth="1"/>
    <col min="10242" max="10496" width="10.85546875" style="90"/>
    <col min="10497" max="10497" width="51.5703125" style="90" customWidth="1"/>
    <col min="10498" max="10752" width="10.85546875" style="90"/>
    <col min="10753" max="10753" width="51.5703125" style="90" customWidth="1"/>
    <col min="10754" max="11008" width="10.85546875" style="90"/>
    <col min="11009" max="11009" width="51.5703125" style="90" customWidth="1"/>
    <col min="11010" max="11264" width="10.85546875" style="90"/>
    <col min="11265" max="11265" width="51.5703125" style="90" customWidth="1"/>
    <col min="11266" max="11520" width="10.85546875" style="90"/>
    <col min="11521" max="11521" width="51.5703125" style="90" customWidth="1"/>
    <col min="11522" max="11776" width="10.85546875" style="90"/>
    <col min="11777" max="11777" width="51.5703125" style="90" customWidth="1"/>
    <col min="11778" max="12032" width="10.85546875" style="90"/>
    <col min="12033" max="12033" width="51.5703125" style="90" customWidth="1"/>
    <col min="12034" max="12288" width="10.85546875" style="90"/>
    <col min="12289" max="12289" width="51.5703125" style="90" customWidth="1"/>
    <col min="12290" max="12544" width="10.85546875" style="90"/>
    <col min="12545" max="12545" width="51.5703125" style="90" customWidth="1"/>
    <col min="12546" max="12800" width="10.85546875" style="90"/>
    <col min="12801" max="12801" width="51.5703125" style="90" customWidth="1"/>
    <col min="12802" max="13056" width="10.85546875" style="90"/>
    <col min="13057" max="13057" width="51.5703125" style="90" customWidth="1"/>
    <col min="13058" max="13312" width="10.85546875" style="90"/>
    <col min="13313" max="13313" width="51.5703125" style="90" customWidth="1"/>
    <col min="13314" max="13568" width="10.85546875" style="90"/>
    <col min="13569" max="13569" width="51.5703125" style="90" customWidth="1"/>
    <col min="13570" max="13824" width="10.85546875" style="90"/>
    <col min="13825" max="13825" width="51.5703125" style="90" customWidth="1"/>
    <col min="13826" max="14080" width="10.85546875" style="90"/>
    <col min="14081" max="14081" width="51.5703125" style="90" customWidth="1"/>
    <col min="14082" max="14336" width="10.85546875" style="90"/>
    <col min="14337" max="14337" width="51.5703125" style="90" customWidth="1"/>
    <col min="14338" max="14592" width="10.85546875" style="90"/>
    <col min="14593" max="14593" width="51.5703125" style="90" customWidth="1"/>
    <col min="14594" max="14848" width="10.85546875" style="90"/>
    <col min="14849" max="14849" width="51.5703125" style="90" customWidth="1"/>
    <col min="14850" max="15104" width="10.85546875" style="90"/>
    <col min="15105" max="15105" width="51.5703125" style="90" customWidth="1"/>
    <col min="15106" max="15360" width="10.85546875" style="90"/>
    <col min="15361" max="15361" width="51.5703125" style="90" customWidth="1"/>
    <col min="15362" max="15616" width="10.85546875" style="90"/>
    <col min="15617" max="15617" width="51.5703125" style="90" customWidth="1"/>
    <col min="15618" max="15872" width="10.85546875" style="90"/>
    <col min="15873" max="15873" width="51.5703125" style="90" customWidth="1"/>
    <col min="15874" max="16128" width="10.85546875" style="90"/>
    <col min="16129" max="16129" width="51.5703125" style="90" customWidth="1"/>
    <col min="16130" max="16384" width="10.85546875" style="90"/>
  </cols>
  <sheetData>
    <row r="1" spans="1:27" x14ac:dyDescent="0.2">
      <c r="A1" s="279"/>
      <c r="B1" s="1913" t="s">
        <v>845</v>
      </c>
      <c r="C1" s="1914"/>
      <c r="D1" s="1914"/>
      <c r="E1" s="1914"/>
      <c r="F1" s="1914"/>
      <c r="G1" s="1914"/>
      <c r="H1" s="1914"/>
      <c r="I1" s="1914"/>
      <c r="J1" s="1914"/>
      <c r="K1" s="1914"/>
      <c r="L1" s="1914"/>
      <c r="M1" s="1914"/>
      <c r="N1" s="1914"/>
      <c r="O1" s="1914"/>
      <c r="P1" s="1914"/>
      <c r="Q1" s="1914"/>
      <c r="R1" s="1914"/>
      <c r="S1" s="1914"/>
      <c r="T1" s="1914"/>
      <c r="U1" s="1914"/>
      <c r="V1" s="1914"/>
      <c r="W1" s="1914"/>
      <c r="X1" s="1914"/>
      <c r="Y1" s="1914"/>
      <c r="Z1" s="1914"/>
      <c r="AA1" s="1914"/>
    </row>
    <row r="2" spans="1:27" ht="13.5" customHeight="1" x14ac:dyDescent="0.2">
      <c r="A2" s="149"/>
      <c r="B2" s="1914"/>
      <c r="C2" s="1914"/>
      <c r="D2" s="1914"/>
      <c r="E2" s="1914"/>
      <c r="F2" s="1914"/>
      <c r="G2" s="1914"/>
      <c r="H2" s="1914"/>
      <c r="I2" s="1914"/>
      <c r="J2" s="1914"/>
      <c r="K2" s="1914"/>
      <c r="L2" s="1914"/>
      <c r="M2" s="1914"/>
      <c r="N2" s="1914"/>
      <c r="O2" s="1914"/>
      <c r="P2" s="1914"/>
      <c r="Q2" s="1914"/>
      <c r="R2" s="1914"/>
      <c r="S2" s="1914"/>
      <c r="T2" s="1914"/>
      <c r="U2" s="1914"/>
      <c r="V2" s="1914"/>
      <c r="W2" s="1914"/>
      <c r="X2" s="1914"/>
      <c r="Y2" s="1914"/>
      <c r="Z2" s="1914"/>
      <c r="AA2" s="1914"/>
    </row>
    <row r="3" spans="1:27" ht="13.5" customHeight="1" thickBot="1" x14ac:dyDescent="0.25">
      <c r="A3" s="149"/>
      <c r="B3" s="1915"/>
      <c r="C3" s="1915"/>
      <c r="D3" s="1915"/>
      <c r="E3" s="1915"/>
      <c r="F3" s="1915"/>
      <c r="G3" s="1915"/>
      <c r="H3" s="1915"/>
      <c r="I3" s="1915"/>
      <c r="J3" s="1915"/>
      <c r="K3" s="1915"/>
      <c r="L3" s="1915"/>
      <c r="M3" s="1915"/>
      <c r="N3" s="1915"/>
      <c r="O3" s="1915"/>
      <c r="P3" s="1915"/>
      <c r="Q3" s="1915"/>
      <c r="R3" s="1915"/>
      <c r="S3" s="1915"/>
      <c r="T3" s="1915"/>
      <c r="U3" s="1915"/>
      <c r="V3" s="1915"/>
      <c r="W3" s="1915"/>
      <c r="X3" s="1915"/>
      <c r="Y3" s="1915"/>
      <c r="Z3" s="1915"/>
      <c r="AA3" s="1915"/>
    </row>
    <row r="4" spans="1:27" x14ac:dyDescent="0.2">
      <c r="A4" s="1916" t="s">
        <v>248</v>
      </c>
      <c r="B4" s="1918" t="s">
        <v>0</v>
      </c>
      <c r="C4" s="1918"/>
      <c r="D4" s="1919" t="s">
        <v>1</v>
      </c>
      <c r="E4" s="1919"/>
      <c r="F4" s="1920" t="s">
        <v>2</v>
      </c>
      <c r="G4" s="1920"/>
      <c r="H4" s="1921" t="s">
        <v>3</v>
      </c>
      <c r="I4" s="1921"/>
      <c r="J4" s="1922" t="s">
        <v>4</v>
      </c>
      <c r="K4" s="1922"/>
      <c r="L4" s="1923" t="s">
        <v>5</v>
      </c>
      <c r="M4" s="1923"/>
      <c r="N4" s="1924" t="s">
        <v>6</v>
      </c>
      <c r="O4" s="1924"/>
      <c r="P4" s="1925" t="s">
        <v>7</v>
      </c>
      <c r="Q4" s="1925"/>
      <c r="R4" s="1926" t="s">
        <v>8</v>
      </c>
      <c r="S4" s="1926"/>
      <c r="T4" s="1927" t="s">
        <v>9</v>
      </c>
      <c r="U4" s="1927"/>
      <c r="V4" s="1928" t="s">
        <v>10</v>
      </c>
      <c r="W4" s="1928"/>
      <c r="X4" s="1929" t="s">
        <v>11</v>
      </c>
      <c r="Y4" s="1930"/>
      <c r="Z4" s="1931" t="s">
        <v>249</v>
      </c>
      <c r="AA4" s="1931"/>
    </row>
    <row r="5" spans="1:27" x14ac:dyDescent="0.2">
      <c r="A5" s="1917"/>
      <c r="B5" s="280" t="s">
        <v>242</v>
      </c>
      <c r="C5" s="280" t="s">
        <v>250</v>
      </c>
      <c r="D5" s="280" t="s">
        <v>242</v>
      </c>
      <c r="E5" s="280" t="s">
        <v>250</v>
      </c>
      <c r="F5" s="280" t="s">
        <v>242</v>
      </c>
      <c r="G5" s="280" t="s">
        <v>250</v>
      </c>
      <c r="H5" s="280" t="s">
        <v>242</v>
      </c>
      <c r="I5" s="280" t="s">
        <v>250</v>
      </c>
      <c r="J5" s="280" t="s">
        <v>242</v>
      </c>
      <c r="K5" s="280" t="s">
        <v>250</v>
      </c>
      <c r="L5" s="280" t="s">
        <v>242</v>
      </c>
      <c r="M5" s="280" t="s">
        <v>250</v>
      </c>
      <c r="N5" s="280" t="s">
        <v>242</v>
      </c>
      <c r="O5" s="280" t="s">
        <v>250</v>
      </c>
      <c r="P5" s="280" t="s">
        <v>242</v>
      </c>
      <c r="Q5" s="280" t="s">
        <v>250</v>
      </c>
      <c r="R5" s="280" t="s">
        <v>242</v>
      </c>
      <c r="S5" s="280" t="s">
        <v>250</v>
      </c>
      <c r="T5" s="280" t="s">
        <v>242</v>
      </c>
      <c r="U5" s="280" t="s">
        <v>250</v>
      </c>
      <c r="V5" s="280" t="s">
        <v>242</v>
      </c>
      <c r="W5" s="280" t="s">
        <v>250</v>
      </c>
      <c r="X5" s="280" t="s">
        <v>242</v>
      </c>
      <c r="Y5" s="280" t="s">
        <v>250</v>
      </c>
      <c r="Z5" s="280" t="s">
        <v>242</v>
      </c>
      <c r="AA5" s="280" t="s">
        <v>250</v>
      </c>
    </row>
    <row r="6" spans="1:27" x14ac:dyDescent="0.2">
      <c r="A6" s="281" t="s">
        <v>251</v>
      </c>
      <c r="B6" s="666">
        <f>DATOS!D167</f>
        <v>0</v>
      </c>
      <c r="C6" s="667">
        <f>DATOS!D168</f>
        <v>0</v>
      </c>
      <c r="D6" s="666">
        <f>DATOS!F167</f>
        <v>0</v>
      </c>
      <c r="E6" s="667">
        <f>DATOS!F168</f>
        <v>0</v>
      </c>
      <c r="F6" s="666">
        <f>DATOS!H167</f>
        <v>0</v>
      </c>
      <c r="G6" s="667">
        <f>DATOS!H168</f>
        <v>0</v>
      </c>
      <c r="H6" s="666">
        <f>DATOS!J167</f>
        <v>0</v>
      </c>
      <c r="I6" s="667">
        <f>DATOS!J168</f>
        <v>0</v>
      </c>
      <c r="J6" s="666">
        <f>DATOS!L167</f>
        <v>0</v>
      </c>
      <c r="K6" s="667">
        <f>DATOS!L168</f>
        <v>0</v>
      </c>
      <c r="L6" s="666">
        <f>DATOS!N167</f>
        <v>0</v>
      </c>
      <c r="M6" s="667">
        <f>DATOS!N168</f>
        <v>0</v>
      </c>
      <c r="N6" s="666">
        <f>DATOS!P167</f>
        <v>0</v>
      </c>
      <c r="O6" s="667">
        <f>DATOS!P168</f>
        <v>0</v>
      </c>
      <c r="P6" s="666">
        <f>DATOS!R167</f>
        <v>0</v>
      </c>
      <c r="Q6" s="667">
        <f>DATOS!R168</f>
        <v>0</v>
      </c>
      <c r="R6" s="666">
        <f>DATOS!T167</f>
        <v>0</v>
      </c>
      <c r="S6" s="667">
        <f>DATOS!T168</f>
        <v>0</v>
      </c>
      <c r="T6" s="666">
        <f>DATOS!V167</f>
        <v>0</v>
      </c>
      <c r="U6" s="667">
        <f>DATOS!V168</f>
        <v>0</v>
      </c>
      <c r="V6" s="666">
        <f>DATOS!X167</f>
        <v>0</v>
      </c>
      <c r="W6" s="667">
        <f>DATOS!X168</f>
        <v>0</v>
      </c>
      <c r="X6" s="666">
        <f>DATOS!Z167</f>
        <v>0</v>
      </c>
      <c r="Y6" s="667">
        <f>DATOS!Z168</f>
        <v>0</v>
      </c>
      <c r="Z6" s="677" t="str">
        <f>DATOS!AB167</f>
        <v>A</v>
      </c>
      <c r="AA6" s="667" t="e">
        <f>DATOS!AB168</f>
        <v>#DIV/0!</v>
      </c>
    </row>
    <row r="7" spans="1:27" x14ac:dyDescent="0.2">
      <c r="A7" s="281" t="s">
        <v>253</v>
      </c>
      <c r="B7" s="666">
        <f>DATOS!D169</f>
        <v>0</v>
      </c>
      <c r="C7" s="667">
        <f>DATOS!D170</f>
        <v>0</v>
      </c>
      <c r="D7" s="666">
        <f>DATOS!F169</f>
        <v>0</v>
      </c>
      <c r="E7" s="667">
        <f>DATOS!F170</f>
        <v>0</v>
      </c>
      <c r="F7" s="666">
        <f>DATOS!H169</f>
        <v>0</v>
      </c>
      <c r="G7" s="667">
        <f>DATOS!H170</f>
        <v>0</v>
      </c>
      <c r="H7" s="666">
        <f>DATOS!J169</f>
        <v>0</v>
      </c>
      <c r="I7" s="667">
        <f>DATOS!J170</f>
        <v>0</v>
      </c>
      <c r="J7" s="666">
        <f>DATOS!L169</f>
        <v>0</v>
      </c>
      <c r="K7" s="667">
        <f>DATOS!L170</f>
        <v>0</v>
      </c>
      <c r="L7" s="666">
        <f>DATOS!N169</f>
        <v>0</v>
      </c>
      <c r="M7" s="667">
        <f>DATOS!N170</f>
        <v>0</v>
      </c>
      <c r="N7" s="666">
        <f>DATOS!P169</f>
        <v>0</v>
      </c>
      <c r="O7" s="667">
        <f>DATOS!P170</f>
        <v>0</v>
      </c>
      <c r="P7" s="666">
        <f>DATOS!R169</f>
        <v>0</v>
      </c>
      <c r="Q7" s="667">
        <f>DATOS!R170</f>
        <v>0</v>
      </c>
      <c r="R7" s="666">
        <f>DATOS!T169</f>
        <v>0</v>
      </c>
      <c r="S7" s="667">
        <f>DATOS!T170</f>
        <v>0</v>
      </c>
      <c r="T7" s="666">
        <f>DATOS!V169</f>
        <v>0</v>
      </c>
      <c r="U7" s="667">
        <f>DATOS!V170</f>
        <v>0</v>
      </c>
      <c r="V7" s="666">
        <f>DATOS!X169</f>
        <v>0</v>
      </c>
      <c r="W7" s="667">
        <f>DATOS!X170</f>
        <v>0</v>
      </c>
      <c r="X7" s="666">
        <f>DATOS!Z169</f>
        <v>0</v>
      </c>
      <c r="Y7" s="667">
        <f>DATOS!Z170</f>
        <v>0</v>
      </c>
      <c r="Z7" s="666" t="str">
        <f>DATOS!AB169</f>
        <v>A</v>
      </c>
      <c r="AA7" s="667" t="e">
        <f>DATOS!AB170</f>
        <v>#DIV/0!</v>
      </c>
    </row>
    <row r="8" spans="1:27" x14ac:dyDescent="0.2">
      <c r="A8" s="281" t="s">
        <v>254</v>
      </c>
      <c r="B8" s="666">
        <f>DATOS!D171</f>
        <v>0</v>
      </c>
      <c r="C8" s="667">
        <f>DATOS!D172</f>
        <v>0</v>
      </c>
      <c r="D8" s="666">
        <f>DATOS!F171</f>
        <v>0</v>
      </c>
      <c r="E8" s="667">
        <f>DATOS!F172</f>
        <v>0</v>
      </c>
      <c r="F8" s="666">
        <f>DATOS!H171</f>
        <v>0</v>
      </c>
      <c r="G8" s="667">
        <f>DATOS!H172</f>
        <v>0</v>
      </c>
      <c r="H8" s="666">
        <f>DATOS!J171</f>
        <v>0</v>
      </c>
      <c r="I8" s="667">
        <f>DATOS!J172</f>
        <v>0</v>
      </c>
      <c r="J8" s="666">
        <f>DATOS!L171</f>
        <v>0</v>
      </c>
      <c r="K8" s="667">
        <f>DATOS!L172</f>
        <v>0</v>
      </c>
      <c r="L8" s="666">
        <f>DATOS!N171</f>
        <v>0</v>
      </c>
      <c r="M8" s="667">
        <f>DATOS!N172</f>
        <v>0</v>
      </c>
      <c r="N8" s="666">
        <f>DATOS!P171</f>
        <v>0</v>
      </c>
      <c r="O8" s="667">
        <f>DATOS!P172</f>
        <v>0</v>
      </c>
      <c r="P8" s="666">
        <f>DATOS!R171</f>
        <v>0</v>
      </c>
      <c r="Q8" s="667">
        <f>DATOS!R172</f>
        <v>0</v>
      </c>
      <c r="R8" s="666">
        <f>DATOS!T171</f>
        <v>0</v>
      </c>
      <c r="S8" s="667">
        <f>DATOS!T172</f>
        <v>0</v>
      </c>
      <c r="T8" s="666">
        <f>DATOS!V171</f>
        <v>0</v>
      </c>
      <c r="U8" s="667">
        <f>DATOS!V172</f>
        <v>0</v>
      </c>
      <c r="V8" s="666">
        <f>DATOS!X171</f>
        <v>0</v>
      </c>
      <c r="W8" s="667">
        <f>DATOS!X172</f>
        <v>0</v>
      </c>
      <c r="X8" s="666">
        <f>DATOS!Z171</f>
        <v>0</v>
      </c>
      <c r="Y8" s="667">
        <f>DATOS!Z172</f>
        <v>0</v>
      </c>
      <c r="Z8" s="677" t="str">
        <f>DATOS!AB171</f>
        <v>A</v>
      </c>
      <c r="AA8" s="667" t="e">
        <f>DATOS!AB172</f>
        <v>#DIV/0!</v>
      </c>
    </row>
    <row r="9" spans="1:27" x14ac:dyDescent="0.2">
      <c r="A9" s="281" t="s">
        <v>255</v>
      </c>
      <c r="B9" s="666">
        <f>DATOS!D173</f>
        <v>0</v>
      </c>
      <c r="C9" s="667">
        <f>DATOS!D174</f>
        <v>0</v>
      </c>
      <c r="D9" s="666">
        <f>DATOS!F173</f>
        <v>0</v>
      </c>
      <c r="E9" s="667">
        <f>DATOS!F174</f>
        <v>0</v>
      </c>
      <c r="F9" s="666">
        <f>DATOS!H173</f>
        <v>0</v>
      </c>
      <c r="G9" s="667">
        <f>DATOS!H174</f>
        <v>0</v>
      </c>
      <c r="H9" s="666">
        <f>DATOS!J173</f>
        <v>0</v>
      </c>
      <c r="I9" s="667">
        <f>DATOS!J174</f>
        <v>0</v>
      </c>
      <c r="J9" s="666">
        <f>DATOS!L173</f>
        <v>0</v>
      </c>
      <c r="K9" s="667">
        <f>DATOS!L174</f>
        <v>0</v>
      </c>
      <c r="L9" s="666">
        <f>DATOS!N173</f>
        <v>0</v>
      </c>
      <c r="M9" s="667">
        <f>DATOS!N174</f>
        <v>0</v>
      </c>
      <c r="N9" s="666">
        <f>DATOS!P173</f>
        <v>0</v>
      </c>
      <c r="O9" s="667">
        <f>DATOS!P174</f>
        <v>0</v>
      </c>
      <c r="P9" s="666">
        <f>DATOS!R173</f>
        <v>0</v>
      </c>
      <c r="Q9" s="667">
        <f>DATOS!R174</f>
        <v>0</v>
      </c>
      <c r="R9" s="666">
        <f>DATOS!T173</f>
        <v>0</v>
      </c>
      <c r="S9" s="667">
        <f>DATOS!T174</f>
        <v>0</v>
      </c>
      <c r="T9" s="666">
        <f>DATOS!V173</f>
        <v>0</v>
      </c>
      <c r="U9" s="667">
        <f>DATOS!V174</f>
        <v>0</v>
      </c>
      <c r="V9" s="666">
        <f>DATOS!X173</f>
        <v>0</v>
      </c>
      <c r="W9" s="667">
        <f>DATOS!X174</f>
        <v>0</v>
      </c>
      <c r="X9" s="666">
        <f>DATOS!Z173</f>
        <v>0</v>
      </c>
      <c r="Y9" s="667">
        <f>DATOS!Z174</f>
        <v>0</v>
      </c>
      <c r="Z9" s="666" t="str">
        <f>DATOS!AB173</f>
        <v>A</v>
      </c>
      <c r="AA9" s="667" t="e">
        <f>DATOS!AB174</f>
        <v>#DIV/0!</v>
      </c>
    </row>
    <row r="10" spans="1:27" x14ac:dyDescent="0.2">
      <c r="A10" s="281" t="s">
        <v>256</v>
      </c>
      <c r="B10" s="666">
        <f>DATOS!D175</f>
        <v>0</v>
      </c>
      <c r="C10" s="667">
        <f>DATOS!D176</f>
        <v>0</v>
      </c>
      <c r="D10" s="666">
        <f>DATOS!F175</f>
        <v>0</v>
      </c>
      <c r="E10" s="667">
        <f>DATOS!F176</f>
        <v>0</v>
      </c>
      <c r="F10" s="666">
        <f>DATOS!H175</f>
        <v>0</v>
      </c>
      <c r="G10" s="667">
        <f>DATOS!H176</f>
        <v>0</v>
      </c>
      <c r="H10" s="666">
        <f>DATOS!J175</f>
        <v>0</v>
      </c>
      <c r="I10" s="667">
        <f>DATOS!J1419</f>
        <v>0</v>
      </c>
      <c r="J10" s="666">
        <f>DATOS!L175</f>
        <v>0</v>
      </c>
      <c r="K10" s="667">
        <f>DATOS!L176</f>
        <v>0</v>
      </c>
      <c r="L10" s="666">
        <f>DATOS!N175</f>
        <v>0</v>
      </c>
      <c r="M10" s="667">
        <f>DATOS!N176</f>
        <v>0</v>
      </c>
      <c r="N10" s="666">
        <f>DATOS!P175</f>
        <v>0</v>
      </c>
      <c r="O10" s="667">
        <f>DATOS!P176</f>
        <v>0</v>
      </c>
      <c r="P10" s="666">
        <f>DATOS!R175</f>
        <v>0</v>
      </c>
      <c r="Q10" s="667">
        <f>DATOS!R176</f>
        <v>0</v>
      </c>
      <c r="R10" s="666">
        <f>DATOS!T175</f>
        <v>0</v>
      </c>
      <c r="S10" s="667">
        <f>DATOS!T176</f>
        <v>0</v>
      </c>
      <c r="T10" s="666">
        <f>DATOS!V175</f>
        <v>0</v>
      </c>
      <c r="U10" s="667">
        <f>DATOS!V176</f>
        <v>0</v>
      </c>
      <c r="V10" s="666">
        <f>DATOS!X175</f>
        <v>0</v>
      </c>
      <c r="W10" s="667">
        <f>DATOS!X176</f>
        <v>0</v>
      </c>
      <c r="X10" s="666">
        <f>DATOS!Z175</f>
        <v>0</v>
      </c>
      <c r="Y10" s="667">
        <f>DATOS!Z176</f>
        <v>0</v>
      </c>
      <c r="Z10" s="677" t="str">
        <f>DATOS!AB175</f>
        <v>A</v>
      </c>
      <c r="AA10" s="667" t="str">
        <f>DATOS!AB175</f>
        <v>A</v>
      </c>
    </row>
    <row r="11" spans="1:27" x14ac:dyDescent="0.2">
      <c r="A11" s="281" t="s">
        <v>257</v>
      </c>
      <c r="B11" s="666">
        <f>DATOS!D177</f>
        <v>0</v>
      </c>
      <c r="C11" s="667">
        <f>DATOS!D178</f>
        <v>0</v>
      </c>
      <c r="D11" s="666">
        <f>DATOS!F177</f>
        <v>0</v>
      </c>
      <c r="E11" s="667">
        <f>DATOS!F178</f>
        <v>0</v>
      </c>
      <c r="F11" s="666">
        <f>DATOS!H177</f>
        <v>0</v>
      </c>
      <c r="G11" s="667">
        <f>DATOS!H178</f>
        <v>0</v>
      </c>
      <c r="H11" s="666">
        <f>DATOS!J177</f>
        <v>0</v>
      </c>
      <c r="I11" s="667">
        <f>DATOS!J178</f>
        <v>0</v>
      </c>
      <c r="J11" s="666">
        <f>DATOS!L177</f>
        <v>0</v>
      </c>
      <c r="K11" s="667">
        <f>DATOS!L178</f>
        <v>0</v>
      </c>
      <c r="L11" s="666">
        <f>DATOS!N1424</f>
        <v>0</v>
      </c>
      <c r="M11" s="667">
        <f>DATOS!N178</f>
        <v>0</v>
      </c>
      <c r="N11" s="666">
        <f>DATOS!P177</f>
        <v>0</v>
      </c>
      <c r="O11" s="667">
        <f>DATOS!P178</f>
        <v>0</v>
      </c>
      <c r="P11" s="666">
        <f>DATOS!R177</f>
        <v>0</v>
      </c>
      <c r="Q11" s="667">
        <f>DATOS!R178</f>
        <v>0</v>
      </c>
      <c r="R11" s="666">
        <f>DATOS!T177</f>
        <v>0</v>
      </c>
      <c r="S11" s="667">
        <f>DATOS!T178</f>
        <v>0</v>
      </c>
      <c r="T11" s="666">
        <f>DATOS!V177</f>
        <v>0</v>
      </c>
      <c r="U11" s="667">
        <f>DATOS!V178</f>
        <v>0</v>
      </c>
      <c r="V11" s="666">
        <f>DATOS!X177</f>
        <v>0</v>
      </c>
      <c r="W11" s="667">
        <f>DATOS!X178</f>
        <v>0</v>
      </c>
      <c r="X11" s="666">
        <f>DATOS!Z177</f>
        <v>0</v>
      </c>
      <c r="Y11" s="667">
        <f>DATOS!Z178</f>
        <v>0</v>
      </c>
      <c r="Z11" s="666" t="str">
        <f>DATOS!AB177</f>
        <v>A</v>
      </c>
      <c r="AA11" s="667" t="e">
        <f>DATOS!AB176</f>
        <v>#DIV/0!</v>
      </c>
    </row>
    <row r="12" spans="1:27" x14ac:dyDescent="0.2">
      <c r="A12" s="281" t="s">
        <v>258</v>
      </c>
      <c r="B12" s="666">
        <f>DATOS!D179</f>
        <v>0</v>
      </c>
      <c r="C12" s="667">
        <f>DATOS!D180</f>
        <v>0</v>
      </c>
      <c r="D12" s="666">
        <f>DATOS!F179</f>
        <v>0</v>
      </c>
      <c r="E12" s="667">
        <f>DATOS!F180</f>
        <v>0</v>
      </c>
      <c r="F12" s="666">
        <f>DATOS!H179</f>
        <v>0</v>
      </c>
      <c r="G12" s="667">
        <f>DATOS!H180</f>
        <v>0</v>
      </c>
      <c r="H12" s="666">
        <f>DATOS!J179</f>
        <v>0</v>
      </c>
      <c r="I12" s="667">
        <f>DATOS!J180</f>
        <v>0</v>
      </c>
      <c r="J12" s="666">
        <f>DATOS!L179</f>
        <v>0</v>
      </c>
      <c r="K12" s="667">
        <f>DATOS!L180</f>
        <v>0</v>
      </c>
      <c r="L12" s="666">
        <f>DATOS!N179</f>
        <v>0</v>
      </c>
      <c r="M12" s="667">
        <f>DATOS!N180</f>
        <v>0</v>
      </c>
      <c r="N12" s="666">
        <f>DATOS!P179</f>
        <v>0</v>
      </c>
      <c r="O12" s="667">
        <f>DATOS!P180</f>
        <v>0</v>
      </c>
      <c r="P12" s="666">
        <f>DATOS!R179</f>
        <v>0</v>
      </c>
      <c r="Q12" s="667">
        <f>DATOS!R180</f>
        <v>0</v>
      </c>
      <c r="R12" s="666">
        <f>DATOS!T179</f>
        <v>0</v>
      </c>
      <c r="S12" s="667">
        <f>DATOS!T180</f>
        <v>0</v>
      </c>
      <c r="T12" s="666">
        <f>DATOS!V179</f>
        <v>0</v>
      </c>
      <c r="U12" s="667">
        <f>DATOS!V180</f>
        <v>0</v>
      </c>
      <c r="V12" s="666">
        <f>DATOS!X179</f>
        <v>0</v>
      </c>
      <c r="W12" s="667">
        <f>DATOS!X180</f>
        <v>0</v>
      </c>
      <c r="X12" s="666">
        <f>DATOS!Z179</f>
        <v>0</v>
      </c>
      <c r="Y12" s="667">
        <f>DATOS!Z180</f>
        <v>0</v>
      </c>
      <c r="Z12" s="677" t="str">
        <f>DATOS!AB179</f>
        <v>A</v>
      </c>
      <c r="AA12" s="667" t="str">
        <f>DATOS!AB177</f>
        <v>A</v>
      </c>
    </row>
    <row r="13" spans="1:27" x14ac:dyDescent="0.2">
      <c r="A13" s="281" t="s">
        <v>259</v>
      </c>
      <c r="B13" s="666">
        <f>DATOS!D181</f>
        <v>0</v>
      </c>
      <c r="C13" s="667">
        <f>DATOS!D182</f>
        <v>0</v>
      </c>
      <c r="D13" s="666">
        <f>DATOS!F181</f>
        <v>0</v>
      </c>
      <c r="E13" s="667">
        <f>DATOS!F182</f>
        <v>0</v>
      </c>
      <c r="F13" s="666">
        <f>DATOS!H181</f>
        <v>0</v>
      </c>
      <c r="G13" s="667">
        <f>DATOS!H182</f>
        <v>0</v>
      </c>
      <c r="H13" s="666">
        <f>DATOS!J181</f>
        <v>0</v>
      </c>
      <c r="I13" s="667">
        <f>DATOS!J182</f>
        <v>0</v>
      </c>
      <c r="J13" s="666">
        <f>DATOS!L181</f>
        <v>0</v>
      </c>
      <c r="K13" s="667">
        <f>DATOS!L182</f>
        <v>0</v>
      </c>
      <c r="L13" s="666">
        <f>DATOS!N181</f>
        <v>0</v>
      </c>
      <c r="M13" s="667">
        <f>DATOS!N182</f>
        <v>0</v>
      </c>
      <c r="N13" s="666">
        <f>DATOS!P181</f>
        <v>0</v>
      </c>
      <c r="O13" s="667">
        <f>DATOS!P182</f>
        <v>0</v>
      </c>
      <c r="P13" s="666">
        <f>DATOS!R181</f>
        <v>0</v>
      </c>
      <c r="Q13" s="667">
        <f>DATOS!R182</f>
        <v>0</v>
      </c>
      <c r="R13" s="666">
        <f>DATOS!T181</f>
        <v>0</v>
      </c>
      <c r="S13" s="667">
        <f>DATOS!T182</f>
        <v>0</v>
      </c>
      <c r="T13" s="666">
        <f>DATOS!V181</f>
        <v>0</v>
      </c>
      <c r="U13" s="667">
        <f>DATOS!V182</f>
        <v>0</v>
      </c>
      <c r="V13" s="666">
        <f>DATOS!X181</f>
        <v>0</v>
      </c>
      <c r="W13" s="667">
        <f>DATOS!X182</f>
        <v>0</v>
      </c>
      <c r="X13" s="666">
        <f>DATOS!Z181</f>
        <v>0</v>
      </c>
      <c r="Y13" s="667">
        <f>DATOS!Z182</f>
        <v>0</v>
      </c>
      <c r="Z13" s="666" t="s">
        <v>252</v>
      </c>
      <c r="AA13" s="667" t="e">
        <f>DATOS!AB182</f>
        <v>#DIV/0!</v>
      </c>
    </row>
    <row r="14" spans="1:27" x14ac:dyDescent="0.2">
      <c r="A14" s="281" t="s">
        <v>260</v>
      </c>
      <c r="B14" s="666">
        <f>DATOS!D183</f>
        <v>0</v>
      </c>
      <c r="C14" s="667">
        <f>DATOS!D184</f>
        <v>0</v>
      </c>
      <c r="D14" s="666">
        <f>DATOS!F183</f>
        <v>0</v>
      </c>
      <c r="E14" s="667">
        <f>DATOS!F184</f>
        <v>0</v>
      </c>
      <c r="F14" s="666">
        <f>DATOS!H183</f>
        <v>0</v>
      </c>
      <c r="G14" s="667">
        <f>DATOS!H184</f>
        <v>0</v>
      </c>
      <c r="H14" s="666">
        <f>DATOS!J183</f>
        <v>0</v>
      </c>
      <c r="I14" s="667">
        <f>DATOS!J184</f>
        <v>0</v>
      </c>
      <c r="J14" s="666">
        <f>DATOS!L183</f>
        <v>0</v>
      </c>
      <c r="K14" s="667">
        <f>DATOS!L184</f>
        <v>0</v>
      </c>
      <c r="L14" s="666">
        <f>DATOS!N183</f>
        <v>0</v>
      </c>
      <c r="M14" s="667">
        <f>DATOS!N184</f>
        <v>0</v>
      </c>
      <c r="N14" s="666">
        <f>DATOS!P183</f>
        <v>0</v>
      </c>
      <c r="O14" s="667">
        <f>DATOS!P184</f>
        <v>0</v>
      </c>
      <c r="P14" s="666">
        <f>DATOS!R183</f>
        <v>0</v>
      </c>
      <c r="Q14" s="667">
        <f>DATOS!R184</f>
        <v>0</v>
      </c>
      <c r="R14" s="666">
        <f>DATOS!T183</f>
        <v>0</v>
      </c>
      <c r="S14" s="667">
        <f>DATOS!T184</f>
        <v>0</v>
      </c>
      <c r="T14" s="666">
        <f>DATOS!V183</f>
        <v>0</v>
      </c>
      <c r="U14" s="667">
        <f>DATOS!V184</f>
        <v>0</v>
      </c>
      <c r="V14" s="666">
        <f>DATOS!X183</f>
        <v>0</v>
      </c>
      <c r="W14" s="667">
        <f>DATOS!X184</f>
        <v>0</v>
      </c>
      <c r="X14" s="666">
        <f>DATOS!Z183</f>
        <v>0</v>
      </c>
      <c r="Y14" s="667">
        <f>DATOS!Z184</f>
        <v>0</v>
      </c>
      <c r="Z14" s="666" t="str">
        <f>DATOS!AB183</f>
        <v>A</v>
      </c>
      <c r="AA14" s="667" t="e">
        <f>DATOS!AB184</f>
        <v>#DIV/0!</v>
      </c>
    </row>
    <row r="15" spans="1:27" x14ac:dyDescent="0.2">
      <c r="A15" s="281" t="s">
        <v>261</v>
      </c>
      <c r="B15" s="666">
        <f>DATOS!D185</f>
        <v>0</v>
      </c>
      <c r="C15" s="667">
        <f>DATOS!D186</f>
        <v>0</v>
      </c>
      <c r="D15" s="666">
        <f>DATOS!F185</f>
        <v>0</v>
      </c>
      <c r="E15" s="667">
        <f>DATOS!F186</f>
        <v>0</v>
      </c>
      <c r="F15" s="666">
        <f>DATOS!H185</f>
        <v>0</v>
      </c>
      <c r="G15" s="667">
        <f>DATOS!H186</f>
        <v>0</v>
      </c>
      <c r="H15" s="666">
        <f>DATOS!J185</f>
        <v>0</v>
      </c>
      <c r="I15" s="667">
        <f>DATOS!J186</f>
        <v>0</v>
      </c>
      <c r="J15" s="666">
        <f>DATOS!L185</f>
        <v>0</v>
      </c>
      <c r="K15" s="667">
        <f>DATOS!L186</f>
        <v>0</v>
      </c>
      <c r="L15" s="666">
        <f>DATOS!N185</f>
        <v>0</v>
      </c>
      <c r="M15" s="667">
        <f>DATOS!N186</f>
        <v>0</v>
      </c>
      <c r="N15" s="666">
        <f>DATOS!P185</f>
        <v>0</v>
      </c>
      <c r="O15" s="667">
        <f>DATOS!P186</f>
        <v>0</v>
      </c>
      <c r="P15" s="666">
        <f>DATOS!R185</f>
        <v>0</v>
      </c>
      <c r="Q15" s="667">
        <f>DATOS!R186</f>
        <v>0</v>
      </c>
      <c r="R15" s="666">
        <f>DATOS!T185</f>
        <v>0</v>
      </c>
      <c r="S15" s="667">
        <f>DATOS!T186</f>
        <v>0</v>
      </c>
      <c r="T15" s="666">
        <f>DATOS!V185</f>
        <v>0</v>
      </c>
      <c r="U15" s="667">
        <f>DATOS!V186</f>
        <v>0</v>
      </c>
      <c r="V15" s="666">
        <f>DATOS!X185</f>
        <v>0</v>
      </c>
      <c r="W15" s="667">
        <f>DATOS!X186</f>
        <v>0</v>
      </c>
      <c r="X15" s="666">
        <f>DATOS!Z185</f>
        <v>0</v>
      </c>
      <c r="Y15" s="667">
        <f>DATOS!Z186</f>
        <v>0</v>
      </c>
      <c r="Z15" s="651"/>
      <c r="AA15" s="649"/>
    </row>
    <row r="16" spans="1:27" x14ac:dyDescent="0.2">
      <c r="A16" s="281" t="s">
        <v>262</v>
      </c>
      <c r="B16" s="666">
        <f>DATOS!D187</f>
        <v>0</v>
      </c>
      <c r="C16" s="667">
        <f>DATOS!D188</f>
        <v>0</v>
      </c>
      <c r="D16" s="666">
        <f>DATOS!F187</f>
        <v>0</v>
      </c>
      <c r="E16" s="667">
        <f>DATOS!F188</f>
        <v>0</v>
      </c>
      <c r="F16" s="666">
        <f>DATOS!H187</f>
        <v>0</v>
      </c>
      <c r="G16" s="667">
        <f>DATOS!H188</f>
        <v>0</v>
      </c>
      <c r="H16" s="666">
        <f>DATOS!J187</f>
        <v>0</v>
      </c>
      <c r="I16" s="667">
        <f>DATOS!J188</f>
        <v>0</v>
      </c>
      <c r="J16" s="666">
        <f>DATOS!L187</f>
        <v>0</v>
      </c>
      <c r="K16" s="667">
        <f>DATOS!L188</f>
        <v>0</v>
      </c>
      <c r="L16" s="666">
        <f>DATOS!N187</f>
        <v>0</v>
      </c>
      <c r="M16" s="667">
        <f>DATOS!N188</f>
        <v>0</v>
      </c>
      <c r="N16" s="666">
        <f>DATOS!P187</f>
        <v>0</v>
      </c>
      <c r="O16" s="667">
        <f>DATOS!P188</f>
        <v>0</v>
      </c>
      <c r="P16" s="666">
        <f>DATOS!R187</f>
        <v>0</v>
      </c>
      <c r="Q16" s="667">
        <f>DATOS!R188</f>
        <v>0</v>
      </c>
      <c r="R16" s="666">
        <f>DATOS!T187</f>
        <v>0</v>
      </c>
      <c r="S16" s="667">
        <f>DATOS!T188</f>
        <v>0</v>
      </c>
      <c r="T16" s="666">
        <f>DATOS!V187</f>
        <v>0</v>
      </c>
      <c r="U16" s="667">
        <f>DATOS!V188</f>
        <v>0</v>
      </c>
      <c r="V16" s="666">
        <f>DATOS!X187</f>
        <v>0</v>
      </c>
      <c r="W16" s="667">
        <f>DATOS!X188</f>
        <v>0</v>
      </c>
      <c r="X16" s="666">
        <f>DATOS!Z187</f>
        <v>0</v>
      </c>
      <c r="Y16" s="667">
        <f>DATOS!Z188</f>
        <v>0</v>
      </c>
      <c r="Z16" s="677" t="str">
        <f>DATOS!AB187</f>
        <v>A</v>
      </c>
      <c r="AA16" s="667" t="e">
        <f>DATOS!AB188</f>
        <v>#DIV/0!</v>
      </c>
    </row>
    <row r="17" spans="1:27" x14ac:dyDescent="0.2">
      <c r="A17" s="281" t="s">
        <v>263</v>
      </c>
      <c r="B17" s="666">
        <f>DATOS!D189</f>
        <v>0</v>
      </c>
      <c r="C17" s="667">
        <f>DATOS!D190</f>
        <v>0</v>
      </c>
      <c r="D17" s="666">
        <f>DATOS!F189</f>
        <v>0</v>
      </c>
      <c r="E17" s="667">
        <f>DATOS!F190</f>
        <v>0</v>
      </c>
      <c r="F17" s="666">
        <f>DATOS!H189</f>
        <v>0</v>
      </c>
      <c r="G17" s="667">
        <f>DATOS!H190</f>
        <v>0</v>
      </c>
      <c r="H17" s="666">
        <f>DATOS!J189</f>
        <v>0</v>
      </c>
      <c r="I17" s="667">
        <f>DATOS!J190</f>
        <v>0</v>
      </c>
      <c r="J17" s="666">
        <f>DATOS!L189</f>
        <v>0</v>
      </c>
      <c r="K17" s="667">
        <f>DATOS!L190</f>
        <v>0</v>
      </c>
      <c r="L17" s="666">
        <f>DATOS!N189</f>
        <v>0</v>
      </c>
      <c r="M17" s="667">
        <f>DATOS!N190</f>
        <v>0</v>
      </c>
      <c r="N17" s="666">
        <f>DATOS!P189</f>
        <v>0</v>
      </c>
      <c r="O17" s="667">
        <f>DATOS!P190</f>
        <v>0</v>
      </c>
      <c r="P17" s="666">
        <f>DATOS!R189</f>
        <v>0</v>
      </c>
      <c r="Q17" s="667">
        <f>DATOS!R190</f>
        <v>0</v>
      </c>
      <c r="R17" s="666">
        <f>DATOS!T189</f>
        <v>0</v>
      </c>
      <c r="S17" s="667">
        <f>DATOS!T190</f>
        <v>0</v>
      </c>
      <c r="T17" s="666">
        <f>DATOS!V189</f>
        <v>0</v>
      </c>
      <c r="U17" s="667">
        <f>DATOS!V190</f>
        <v>0</v>
      </c>
      <c r="V17" s="666">
        <f>DATOS!X189</f>
        <v>0</v>
      </c>
      <c r="W17" s="667">
        <f>DATOS!X190</f>
        <v>0</v>
      </c>
      <c r="X17" s="666">
        <f>DATOS!Z189</f>
        <v>0</v>
      </c>
      <c r="Y17" s="667">
        <f>DATOS!Z190</f>
        <v>0</v>
      </c>
      <c r="Z17" s="648"/>
      <c r="AA17" s="649"/>
    </row>
    <row r="18" spans="1:27" x14ac:dyDescent="0.2">
      <c r="A18" s="281" t="s">
        <v>264</v>
      </c>
      <c r="B18" s="666">
        <f>DATOS!D191</f>
        <v>0</v>
      </c>
      <c r="C18" s="667">
        <f>DATOS!D192</f>
        <v>0</v>
      </c>
      <c r="D18" s="666">
        <f>DATOS!F191</f>
        <v>0</v>
      </c>
      <c r="E18" s="667">
        <f>DATOS!F192</f>
        <v>0</v>
      </c>
      <c r="F18" s="666">
        <f>DATOS!H191</f>
        <v>0</v>
      </c>
      <c r="G18" s="667">
        <f>DATOS!H192</f>
        <v>0</v>
      </c>
      <c r="H18" s="666">
        <f>DATOS!J191</f>
        <v>0</v>
      </c>
      <c r="I18" s="667">
        <f>DATOS!J192</f>
        <v>0</v>
      </c>
      <c r="J18" s="666">
        <f>DATOS!L191</f>
        <v>0</v>
      </c>
      <c r="K18" s="667">
        <f>DATOS!L192</f>
        <v>0</v>
      </c>
      <c r="L18" s="666">
        <f>DATOS!N191</f>
        <v>0</v>
      </c>
      <c r="M18" s="667">
        <f>DATOS!N192</f>
        <v>0</v>
      </c>
      <c r="N18" s="666">
        <f>DATOS!P191</f>
        <v>0</v>
      </c>
      <c r="O18" s="667">
        <f>DATOS!P192</f>
        <v>0</v>
      </c>
      <c r="P18" s="666">
        <f>DATOS!R191</f>
        <v>0</v>
      </c>
      <c r="Q18" s="667">
        <f>DATOS!R192</f>
        <v>0</v>
      </c>
      <c r="R18" s="666">
        <f>DATOS!T191</f>
        <v>0</v>
      </c>
      <c r="S18" s="667">
        <f>DATOS!T192</f>
        <v>0</v>
      </c>
      <c r="T18" s="666">
        <f>DATOS!V191</f>
        <v>0</v>
      </c>
      <c r="U18" s="667">
        <f>DATOS!V192</f>
        <v>0</v>
      </c>
      <c r="V18" s="666">
        <f>DATOS!X191</f>
        <v>0</v>
      </c>
      <c r="W18" s="667">
        <f>DATOS!X192</f>
        <v>0</v>
      </c>
      <c r="X18" s="666">
        <f>DATOS!Z191</f>
        <v>0</v>
      </c>
      <c r="Y18" s="667">
        <f>DATOS!Z192</f>
        <v>0</v>
      </c>
      <c r="Z18" s="678"/>
      <c r="AA18" s="649"/>
    </row>
    <row r="19" spans="1:27" x14ac:dyDescent="0.2">
      <c r="A19" s="281" t="s">
        <v>304</v>
      </c>
      <c r="B19" s="666">
        <f>DATOS!D193</f>
        <v>0</v>
      </c>
      <c r="C19" s="667">
        <f>DATOS!D194</f>
        <v>0</v>
      </c>
      <c r="D19" s="666">
        <f>DATOS!F193</f>
        <v>0</v>
      </c>
      <c r="E19" s="667">
        <f>DATOS!F194</f>
        <v>0</v>
      </c>
      <c r="F19" s="666">
        <f>DATOS!H193</f>
        <v>0</v>
      </c>
      <c r="G19" s="667">
        <f>DATOS!H194</f>
        <v>0</v>
      </c>
      <c r="H19" s="666">
        <f>DATOS!J193</f>
        <v>0</v>
      </c>
      <c r="I19" s="667">
        <f>DATOS!J194</f>
        <v>0</v>
      </c>
      <c r="J19" s="666">
        <f>DATOS!L193</f>
        <v>0</v>
      </c>
      <c r="K19" s="667">
        <f>DATOS!L194</f>
        <v>0</v>
      </c>
      <c r="L19" s="666">
        <f>DATOS!N193</f>
        <v>0</v>
      </c>
      <c r="M19" s="667">
        <f>DATOS!N194</f>
        <v>0</v>
      </c>
      <c r="N19" s="666">
        <f>DATOS!P193</f>
        <v>0</v>
      </c>
      <c r="O19" s="667">
        <f>DATOS!P194</f>
        <v>0</v>
      </c>
      <c r="P19" s="666">
        <f>DATOS!R193</f>
        <v>0</v>
      </c>
      <c r="Q19" s="667">
        <f>DATOS!R194</f>
        <v>0</v>
      </c>
      <c r="R19" s="666">
        <f>DATOS!T193</f>
        <v>0</v>
      </c>
      <c r="S19" s="667">
        <f>DATOS!T194</f>
        <v>0</v>
      </c>
      <c r="T19" s="666">
        <f>DATOS!V193</f>
        <v>0</v>
      </c>
      <c r="U19" s="667">
        <f>DATOS!V194</f>
        <v>0</v>
      </c>
      <c r="V19" s="666">
        <f>DATOS!X193</f>
        <v>0</v>
      </c>
      <c r="W19" s="667">
        <f>DATOS!X194</f>
        <v>0</v>
      </c>
      <c r="X19" s="666">
        <f>DATOS!Z193</f>
        <v>0</v>
      </c>
      <c r="Y19" s="667">
        <f>DATOS!Z194</f>
        <v>0</v>
      </c>
      <c r="Z19" s="678"/>
      <c r="AA19" s="649"/>
    </row>
    <row r="20" spans="1:27" x14ac:dyDescent="0.2">
      <c r="A20" s="281" t="s">
        <v>265</v>
      </c>
      <c r="B20" s="666">
        <f>DATOS!D195</f>
        <v>0</v>
      </c>
      <c r="C20" s="667">
        <f>DATOS!D196</f>
        <v>0</v>
      </c>
      <c r="D20" s="666">
        <f>DATOS!F195</f>
        <v>0</v>
      </c>
      <c r="E20" s="667">
        <f>DATOS!F196</f>
        <v>0</v>
      </c>
      <c r="F20" s="666">
        <f>DATOS!H195</f>
        <v>0</v>
      </c>
      <c r="G20" s="667">
        <f>DATOS!H196</f>
        <v>0</v>
      </c>
      <c r="H20" s="666">
        <f>DATOS!J195</f>
        <v>0</v>
      </c>
      <c r="I20" s="667">
        <f>DATOS!J196</f>
        <v>0</v>
      </c>
      <c r="J20" s="666">
        <f>DATOS!L195</f>
        <v>0</v>
      </c>
      <c r="K20" s="667">
        <f>DATOS!L196</f>
        <v>0</v>
      </c>
      <c r="L20" s="666">
        <f>DATOS!N195</f>
        <v>0</v>
      </c>
      <c r="M20" s="667">
        <f>DATOS!N196</f>
        <v>0</v>
      </c>
      <c r="N20" s="666">
        <f>DATOS!P195</f>
        <v>0</v>
      </c>
      <c r="O20" s="667">
        <f>DATOS!P196</f>
        <v>0</v>
      </c>
      <c r="P20" s="666">
        <f>DATOS!R195</f>
        <v>0</v>
      </c>
      <c r="Q20" s="667">
        <f>DATOS!R196</f>
        <v>0</v>
      </c>
      <c r="R20" s="666">
        <f>DATOS!T195</f>
        <v>0</v>
      </c>
      <c r="S20" s="667">
        <f>DATOS!T196</f>
        <v>0</v>
      </c>
      <c r="T20" s="666">
        <f>DATOS!V195</f>
        <v>0</v>
      </c>
      <c r="U20" s="667">
        <f>DATOS!V196</f>
        <v>0</v>
      </c>
      <c r="V20" s="666">
        <f>DATOS!X195</f>
        <v>0</v>
      </c>
      <c r="W20" s="667">
        <f>DATOS!X196</f>
        <v>0</v>
      </c>
      <c r="X20" s="666">
        <f>DATOS!Z195</f>
        <v>0</v>
      </c>
      <c r="Y20" s="667">
        <f>DATOS!Z196</f>
        <v>0</v>
      </c>
      <c r="Z20" s="677" t="str">
        <f>DATOS!AB195</f>
        <v>A</v>
      </c>
      <c r="AA20" s="667" t="e">
        <f>DATOS!AB196</f>
        <v>#DIV/0!</v>
      </c>
    </row>
    <row r="21" spans="1:27" x14ac:dyDescent="0.2">
      <c r="A21" s="281" t="s">
        <v>266</v>
      </c>
      <c r="B21" s="666">
        <f>DATOS!D197</f>
        <v>0</v>
      </c>
      <c r="C21" s="667">
        <f>DATOS!D198</f>
        <v>0</v>
      </c>
      <c r="D21" s="666">
        <f>DATOS!F197</f>
        <v>0</v>
      </c>
      <c r="E21" s="667">
        <f>DATOS!F198</f>
        <v>0</v>
      </c>
      <c r="F21" s="666">
        <f>DATOS!H197</f>
        <v>0</v>
      </c>
      <c r="G21" s="667">
        <f>DATOS!H198</f>
        <v>0</v>
      </c>
      <c r="H21" s="666">
        <f>DATOS!J197</f>
        <v>0</v>
      </c>
      <c r="I21" s="667">
        <f>DATOS!J198</f>
        <v>0</v>
      </c>
      <c r="J21" s="666">
        <f>DATOS!L197</f>
        <v>0</v>
      </c>
      <c r="K21" s="667">
        <f>DATOS!L198</f>
        <v>0</v>
      </c>
      <c r="L21" s="666">
        <f>DATOS!N197</f>
        <v>0</v>
      </c>
      <c r="M21" s="667">
        <f>DATOS!N198</f>
        <v>0</v>
      </c>
      <c r="N21" s="666">
        <f>DATOS!P197</f>
        <v>0</v>
      </c>
      <c r="O21" s="667">
        <f>DATOS!P198</f>
        <v>0</v>
      </c>
      <c r="P21" s="666">
        <f>DATOS!R197</f>
        <v>0</v>
      </c>
      <c r="Q21" s="667">
        <f>DATOS!R198</f>
        <v>0</v>
      </c>
      <c r="R21" s="666">
        <f>DATOS!T197</f>
        <v>0</v>
      </c>
      <c r="S21" s="667">
        <f>DATOS!T198</f>
        <v>0</v>
      </c>
      <c r="T21" s="666">
        <f>DATOS!V197</f>
        <v>0</v>
      </c>
      <c r="U21" s="667">
        <f>DATOS!V198</f>
        <v>0</v>
      </c>
      <c r="V21" s="666">
        <f>DATOS!X197</f>
        <v>0</v>
      </c>
      <c r="W21" s="667">
        <f>DATOS!X198</f>
        <v>0</v>
      </c>
      <c r="X21" s="666">
        <f>DATOS!Z197</f>
        <v>0</v>
      </c>
      <c r="Y21" s="667">
        <f>DATOS!Z198</f>
        <v>0</v>
      </c>
      <c r="Z21" s="678"/>
      <c r="AA21" s="649"/>
    </row>
    <row r="22" spans="1:27" x14ac:dyDescent="0.2">
      <c r="A22" s="281" t="s">
        <v>267</v>
      </c>
      <c r="B22" s="666">
        <f>DATOS!D199</f>
        <v>0</v>
      </c>
      <c r="C22" s="667">
        <f>DATOS!D200</f>
        <v>0</v>
      </c>
      <c r="D22" s="666">
        <f>DATOS!F199</f>
        <v>0</v>
      </c>
      <c r="E22" s="667">
        <f>DATOS!F200</f>
        <v>0</v>
      </c>
      <c r="F22" s="666">
        <f>DATOS!H199</f>
        <v>0</v>
      </c>
      <c r="G22" s="667">
        <f>DATOS!H200</f>
        <v>0</v>
      </c>
      <c r="H22" s="666">
        <f>DATOS!J199</f>
        <v>0</v>
      </c>
      <c r="I22" s="667">
        <f>DATOS!J200</f>
        <v>0</v>
      </c>
      <c r="J22" s="666">
        <f>DATOS!L199</f>
        <v>0</v>
      </c>
      <c r="K22" s="667">
        <f>DATOS!L200</f>
        <v>0</v>
      </c>
      <c r="L22" s="666">
        <f>DATOS!N199</f>
        <v>0</v>
      </c>
      <c r="M22" s="667">
        <f>DATOS!N200</f>
        <v>0</v>
      </c>
      <c r="N22" s="666">
        <f>DATOS!P199</f>
        <v>0</v>
      </c>
      <c r="O22" s="667">
        <f>DATOS!P200</f>
        <v>0</v>
      </c>
      <c r="P22" s="666">
        <f>DATOS!R199</f>
        <v>0</v>
      </c>
      <c r="Q22" s="667">
        <f>DATOS!R200</f>
        <v>0</v>
      </c>
      <c r="R22" s="666">
        <f>DATOS!T199</f>
        <v>0</v>
      </c>
      <c r="S22" s="667">
        <f>DATOS!T200</f>
        <v>0</v>
      </c>
      <c r="T22" s="666">
        <f>DATOS!V199</f>
        <v>0</v>
      </c>
      <c r="U22" s="667">
        <f>DATOS!V200</f>
        <v>0</v>
      </c>
      <c r="V22" s="666">
        <f>DATOS!X199</f>
        <v>0</v>
      </c>
      <c r="W22" s="667">
        <f>DATOS!X200</f>
        <v>0</v>
      </c>
      <c r="X22" s="666">
        <f>DATOS!Z199</f>
        <v>0</v>
      </c>
      <c r="Y22" s="667">
        <f>DATOS!Z200</f>
        <v>0</v>
      </c>
      <c r="Z22" s="677" t="str">
        <f>DATOS!AB199</f>
        <v>A</v>
      </c>
      <c r="AA22" s="650" t="e">
        <f>DATOS!AB200</f>
        <v>#DIV/0!</v>
      </c>
    </row>
    <row r="23" spans="1:27" x14ac:dyDescent="0.2">
      <c r="A23" s="281" t="s">
        <v>268</v>
      </c>
      <c r="B23" s="666">
        <f>DATOS!D201</f>
        <v>0</v>
      </c>
      <c r="C23" s="667">
        <f>DATOS!D202</f>
        <v>0</v>
      </c>
      <c r="D23" s="666">
        <f>DATOS!F201</f>
        <v>0</v>
      </c>
      <c r="E23" s="667">
        <f>DATOS!F1683</f>
        <v>0</v>
      </c>
      <c r="F23" s="666">
        <f>DATOS!H201</f>
        <v>0</v>
      </c>
      <c r="G23" s="667">
        <f>DATOS!H202</f>
        <v>0</v>
      </c>
      <c r="H23" s="666">
        <f>DATOS!J201</f>
        <v>0</v>
      </c>
      <c r="I23" s="667">
        <f>DATOS!J202</f>
        <v>0</v>
      </c>
      <c r="J23" s="666">
        <f>DATOS!L1669</f>
        <v>0</v>
      </c>
      <c r="K23" s="667">
        <f>DATOS!L202</f>
        <v>0</v>
      </c>
      <c r="L23" s="666">
        <f>DATOS!N201</f>
        <v>0</v>
      </c>
      <c r="M23" s="667">
        <f>DATOS!N202</f>
        <v>0</v>
      </c>
      <c r="N23" s="666">
        <f>DATOS!P201</f>
        <v>0</v>
      </c>
      <c r="O23" s="667">
        <f>DATOS!P202</f>
        <v>0</v>
      </c>
      <c r="P23" s="666">
        <f>DATOS!R201</f>
        <v>0</v>
      </c>
      <c r="Q23" s="667">
        <f>DATOS!R202</f>
        <v>0</v>
      </c>
      <c r="R23" s="666">
        <f>DATOS!T201</f>
        <v>0</v>
      </c>
      <c r="S23" s="667">
        <f>DATOS!T202</f>
        <v>0</v>
      </c>
      <c r="T23" s="666">
        <f>DATOS!V201</f>
        <v>0</v>
      </c>
      <c r="U23" s="667">
        <f>DATOS!V202</f>
        <v>0</v>
      </c>
      <c r="V23" s="666">
        <f>DATOS!X201</f>
        <v>0</v>
      </c>
      <c r="W23" s="667">
        <f>DATOS!X202</f>
        <v>0</v>
      </c>
      <c r="X23" s="666">
        <f>DATOS!Z201</f>
        <v>0</v>
      </c>
      <c r="Y23" s="667">
        <f>DATOS!Z202</f>
        <v>0</v>
      </c>
      <c r="Z23" s="678"/>
      <c r="AA23" s="649"/>
    </row>
    <row r="24" spans="1:27" x14ac:dyDescent="0.2">
      <c r="A24" s="281" t="s">
        <v>269</v>
      </c>
      <c r="B24" s="666">
        <f>DATOS!D203</f>
        <v>0</v>
      </c>
      <c r="C24" s="667">
        <f>DATOS!D204</f>
        <v>0</v>
      </c>
      <c r="D24" s="666">
        <f>DATOS!F203</f>
        <v>0</v>
      </c>
      <c r="E24" s="667">
        <f>DATOS!F204</f>
        <v>0</v>
      </c>
      <c r="F24" s="666">
        <f>DATOS!H203</f>
        <v>0</v>
      </c>
      <c r="G24" s="667">
        <f>DATOS!H204</f>
        <v>0</v>
      </c>
      <c r="H24" s="666">
        <f>DATOS!J203</f>
        <v>0</v>
      </c>
      <c r="I24" s="667">
        <f>DATOS!J204</f>
        <v>0</v>
      </c>
      <c r="J24" s="666">
        <f>DATOS!L203</f>
        <v>0</v>
      </c>
      <c r="K24" s="667">
        <f>DATOS!L204</f>
        <v>0</v>
      </c>
      <c r="L24" s="666">
        <f>DATOS!N203</f>
        <v>0</v>
      </c>
      <c r="M24" s="667">
        <f>DATOS!N204</f>
        <v>0</v>
      </c>
      <c r="N24" s="666">
        <f>DATOS!P203</f>
        <v>0</v>
      </c>
      <c r="O24" s="667">
        <f>DATOS!P204</f>
        <v>0</v>
      </c>
      <c r="P24" s="666">
        <f>DATOS!R203</f>
        <v>0</v>
      </c>
      <c r="Q24" s="667">
        <f>DATOS!R204</f>
        <v>0</v>
      </c>
      <c r="R24" s="666">
        <f>DATOS!T203</f>
        <v>0</v>
      </c>
      <c r="S24" s="667">
        <f>DATOS!T204</f>
        <v>0</v>
      </c>
      <c r="T24" s="666">
        <f>DATOS!V203</f>
        <v>0</v>
      </c>
      <c r="U24" s="667">
        <f>DATOS!V204</f>
        <v>0</v>
      </c>
      <c r="V24" s="666">
        <f>DATOS!X203</f>
        <v>0</v>
      </c>
      <c r="W24" s="667">
        <f>DATOS!X204</f>
        <v>0</v>
      </c>
      <c r="X24" s="666">
        <f>DATOS!Z203</f>
        <v>0</v>
      </c>
      <c r="Y24" s="667">
        <f>DATOS!Z204</f>
        <v>0</v>
      </c>
      <c r="Z24" s="678"/>
      <c r="AA24" s="649"/>
    </row>
    <row r="25" spans="1:27" x14ac:dyDescent="0.2">
      <c r="A25" s="281" t="s">
        <v>270</v>
      </c>
      <c r="B25" s="666">
        <f>DATOS!D205</f>
        <v>0</v>
      </c>
      <c r="C25" s="667">
        <f>DATOS!D206</f>
        <v>0</v>
      </c>
      <c r="D25" s="666">
        <f>DATOS!F205</f>
        <v>0</v>
      </c>
      <c r="E25" s="667">
        <f>DATOS!F206</f>
        <v>0</v>
      </c>
      <c r="F25" s="666">
        <f>DATOS!H205</f>
        <v>0</v>
      </c>
      <c r="G25" s="667">
        <f>DATOS!H206</f>
        <v>0</v>
      </c>
      <c r="H25" s="666">
        <f>DATOS!J205</f>
        <v>0</v>
      </c>
      <c r="I25" s="667">
        <f>DATOS!J206</f>
        <v>0</v>
      </c>
      <c r="J25" s="666">
        <f>DATOS!L205</f>
        <v>0</v>
      </c>
      <c r="K25" s="667">
        <f>DATOS!L206</f>
        <v>0</v>
      </c>
      <c r="L25" s="666">
        <f>DATOS!N205</f>
        <v>0</v>
      </c>
      <c r="M25" s="667">
        <f>DATOS!N206</f>
        <v>0</v>
      </c>
      <c r="N25" s="666">
        <f>DATOS!P205</f>
        <v>0</v>
      </c>
      <c r="O25" s="667">
        <f>DATOS!P206</f>
        <v>0</v>
      </c>
      <c r="P25" s="666">
        <f>DATOS!R205</f>
        <v>0</v>
      </c>
      <c r="Q25" s="667">
        <f>DATOS!R206</f>
        <v>0</v>
      </c>
      <c r="R25" s="666">
        <f>DATOS!T205</f>
        <v>0</v>
      </c>
      <c r="S25" s="667">
        <f>DATOS!T82</f>
        <v>0</v>
      </c>
      <c r="T25" s="666">
        <f>DATOS!V205</f>
        <v>0</v>
      </c>
      <c r="U25" s="667">
        <f>DATOS!V206</f>
        <v>0</v>
      </c>
      <c r="V25" s="666">
        <f>DATOS!X205</f>
        <v>0</v>
      </c>
      <c r="W25" s="667">
        <f>DATOS!X206</f>
        <v>0</v>
      </c>
      <c r="X25" s="666">
        <f>DATOS!Z205</f>
        <v>0</v>
      </c>
      <c r="Y25" s="667">
        <f>DATOS!Z206</f>
        <v>0</v>
      </c>
      <c r="Z25" s="677" t="str">
        <f>DATOS!AB205</f>
        <v>A</v>
      </c>
      <c r="AA25" s="667" t="e">
        <f>DATOS!AB206</f>
        <v>#DIV/0!</v>
      </c>
    </row>
    <row r="26" spans="1:27" x14ac:dyDescent="0.2">
      <c r="A26" s="669" t="s">
        <v>661</v>
      </c>
      <c r="B26" s="666">
        <f>DATOS!D207</f>
        <v>0</v>
      </c>
      <c r="C26" s="667">
        <f>DATOS!D208</f>
        <v>0</v>
      </c>
      <c r="D26" s="666">
        <f>DATOS!F207</f>
        <v>0</v>
      </c>
      <c r="E26" s="667">
        <f>DATOS!F208</f>
        <v>0</v>
      </c>
      <c r="F26" s="666">
        <f>DATOS!H207</f>
        <v>0</v>
      </c>
      <c r="G26" s="680">
        <f>DATOS!H208</f>
        <v>0</v>
      </c>
      <c r="H26" s="666">
        <f>DATOS!J207</f>
        <v>0</v>
      </c>
      <c r="I26" s="680">
        <f>DATOS!J208</f>
        <v>0</v>
      </c>
      <c r="J26" s="666">
        <f>DATOS!L207</f>
        <v>0</v>
      </c>
      <c r="K26" s="667">
        <f>DATOS!L208</f>
        <v>0</v>
      </c>
      <c r="L26" s="666">
        <f>DATOS!N207</f>
        <v>0</v>
      </c>
      <c r="M26" s="667">
        <f>DATOS!N208</f>
        <v>0</v>
      </c>
      <c r="N26" s="666">
        <f>DATOS!P207</f>
        <v>0</v>
      </c>
      <c r="O26" s="667">
        <f>DATOS!P208</f>
        <v>0</v>
      </c>
      <c r="P26" s="666">
        <f>DATOS!R207</f>
        <v>0</v>
      </c>
      <c r="Q26" s="667">
        <f>DATOS!R208</f>
        <v>0</v>
      </c>
      <c r="R26" s="666">
        <f>DATOS!T207</f>
        <v>0</v>
      </c>
      <c r="S26" s="667">
        <f>DATOS!T84</f>
        <v>0</v>
      </c>
      <c r="T26" s="666">
        <f>DATOS!V207</f>
        <v>0</v>
      </c>
      <c r="U26" s="667">
        <f>DATOS!V208</f>
        <v>0</v>
      </c>
      <c r="V26" s="666">
        <f>DATOS!X207</f>
        <v>0</v>
      </c>
      <c r="W26" s="667">
        <f>DATOS!X208</f>
        <v>0</v>
      </c>
      <c r="X26" s="666">
        <f>DATOS!Z207</f>
        <v>0</v>
      </c>
      <c r="Y26" s="667">
        <f>DATOS!Z208</f>
        <v>0</v>
      </c>
      <c r="Z26" s="677" t="str">
        <f>DATOS!AB207</f>
        <v>A</v>
      </c>
      <c r="AA26" s="667" t="e">
        <f>DATOS!AB208</f>
        <v>#DIV/0!</v>
      </c>
    </row>
    <row r="27" spans="1:27" x14ac:dyDescent="0.2">
      <c r="A27" s="285"/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0"/>
      <c r="Q27" s="283"/>
      <c r="R27" s="280"/>
      <c r="S27" s="283"/>
      <c r="T27" s="280"/>
      <c r="U27" s="283"/>
      <c r="V27" s="283"/>
      <c r="W27" s="283"/>
      <c r="X27" s="283"/>
      <c r="Y27" s="283"/>
      <c r="Z27" s="282"/>
      <c r="AA27" s="284"/>
    </row>
    <row r="28" spans="1:27" x14ac:dyDescent="0.2">
      <c r="A28" s="285"/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0"/>
      <c r="Q28" s="283"/>
      <c r="R28" s="280"/>
      <c r="S28" s="283"/>
      <c r="T28" s="280"/>
      <c r="U28" s="283"/>
      <c r="V28" s="283"/>
      <c r="W28" s="283"/>
      <c r="X28" s="283"/>
      <c r="Y28" s="283"/>
      <c r="Z28" s="282"/>
      <c r="AA28" s="284"/>
    </row>
    <row r="29" spans="1:27" x14ac:dyDescent="0.2">
      <c r="A29" s="285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0"/>
      <c r="Q29" s="283"/>
      <c r="R29" s="280"/>
      <c r="S29" s="283"/>
      <c r="T29" s="280"/>
      <c r="U29" s="283"/>
      <c r="V29" s="283"/>
      <c r="W29" s="283"/>
      <c r="X29" s="283"/>
      <c r="Y29" s="283"/>
      <c r="Z29" s="282"/>
      <c r="AA29" s="284"/>
    </row>
    <row r="30" spans="1:27" x14ac:dyDescent="0.2">
      <c r="A30" s="285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0"/>
      <c r="Q30" s="283"/>
      <c r="R30" s="280"/>
      <c r="S30" s="283"/>
      <c r="T30" s="280"/>
      <c r="U30" s="283"/>
      <c r="V30" s="283"/>
      <c r="W30" s="283"/>
      <c r="X30" s="283"/>
      <c r="Y30" s="283"/>
      <c r="Z30" s="282"/>
      <c r="AA30" s="284"/>
    </row>
    <row r="31" spans="1:27" x14ac:dyDescent="0.2">
      <c r="A31" s="285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0"/>
      <c r="Q31" s="283"/>
      <c r="R31" s="280"/>
      <c r="S31" s="283"/>
      <c r="T31" s="280"/>
      <c r="U31" s="283"/>
      <c r="V31" s="283"/>
      <c r="W31" s="283"/>
      <c r="X31" s="283"/>
      <c r="Y31" s="283"/>
      <c r="Z31" s="282"/>
      <c r="AA31" s="284"/>
    </row>
    <row r="32" spans="1:27" x14ac:dyDescent="0.2">
      <c r="A32" s="285"/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0"/>
      <c r="Q32" s="283"/>
      <c r="R32" s="280"/>
      <c r="S32" s="283"/>
      <c r="T32" s="280"/>
      <c r="U32" s="283"/>
      <c r="V32" s="283"/>
      <c r="W32" s="283"/>
      <c r="X32" s="283"/>
      <c r="Y32" s="283"/>
      <c r="Z32" s="282"/>
      <c r="AA32" s="284"/>
    </row>
    <row r="33" spans="1:30" x14ac:dyDescent="0.2">
      <c r="A33" s="285"/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0"/>
      <c r="Q33" s="283"/>
      <c r="R33" s="280"/>
      <c r="S33" s="283"/>
      <c r="T33" s="280"/>
      <c r="U33" s="283"/>
      <c r="V33" s="283"/>
      <c r="W33" s="283"/>
      <c r="X33" s="283"/>
      <c r="Y33" s="283"/>
      <c r="Z33" s="282"/>
      <c r="AA33" s="284"/>
    </row>
    <row r="34" spans="1:30" x14ac:dyDescent="0.2">
      <c r="A34" s="285"/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0"/>
      <c r="Q34" s="283"/>
      <c r="R34" s="280"/>
      <c r="S34" s="283"/>
      <c r="T34" s="280"/>
      <c r="U34" s="283"/>
      <c r="V34" s="283"/>
      <c r="W34" s="283"/>
      <c r="X34" s="283"/>
      <c r="Y34" s="283"/>
      <c r="Z34" s="282"/>
      <c r="AA34" s="284"/>
    </row>
    <row r="35" spans="1:30" ht="13.5" thickBot="1" x14ac:dyDescent="0.25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8"/>
      <c r="Q35" s="289"/>
      <c r="R35" s="288"/>
      <c r="S35" s="289"/>
      <c r="T35" s="288"/>
      <c r="U35" s="289"/>
      <c r="V35" s="289"/>
      <c r="W35" s="289"/>
      <c r="X35" s="289"/>
      <c r="Y35" s="289"/>
      <c r="Z35" s="287"/>
      <c r="AA35" s="290"/>
      <c r="AD35" s="143"/>
    </row>
    <row r="36" spans="1:30" x14ac:dyDescent="0.2">
      <c r="B36" s="291" t="s">
        <v>271</v>
      </c>
      <c r="C36" s="291" t="s">
        <v>272</v>
      </c>
      <c r="D36" s="292" t="s">
        <v>271</v>
      </c>
      <c r="E36" s="292" t="s">
        <v>272</v>
      </c>
      <c r="F36" s="293" t="s">
        <v>271</v>
      </c>
      <c r="G36" s="293" t="s">
        <v>272</v>
      </c>
      <c r="H36" s="294" t="s">
        <v>271</v>
      </c>
      <c r="I36" s="294" t="s">
        <v>272</v>
      </c>
      <c r="J36" s="295" t="s">
        <v>271</v>
      </c>
      <c r="K36" s="295" t="s">
        <v>272</v>
      </c>
      <c r="L36" s="296" t="s">
        <v>271</v>
      </c>
      <c r="M36" s="296" t="s">
        <v>272</v>
      </c>
      <c r="N36" s="297" t="s">
        <v>271</v>
      </c>
      <c r="O36" s="297" t="s">
        <v>272</v>
      </c>
      <c r="P36" s="298" t="s">
        <v>271</v>
      </c>
      <c r="Q36" s="298" t="s">
        <v>272</v>
      </c>
      <c r="R36" s="299" t="s">
        <v>271</v>
      </c>
      <c r="S36" s="299" t="s">
        <v>272</v>
      </c>
      <c r="T36" s="300" t="s">
        <v>271</v>
      </c>
      <c r="U36" s="300" t="s">
        <v>272</v>
      </c>
      <c r="V36" s="301" t="s">
        <v>271</v>
      </c>
      <c r="W36" s="301" t="s">
        <v>272</v>
      </c>
      <c r="X36" s="302" t="s">
        <v>271</v>
      </c>
      <c r="Y36" s="302" t="s">
        <v>272</v>
      </c>
      <c r="Z36" s="303" t="s">
        <v>271</v>
      </c>
      <c r="AA36" s="303" t="s">
        <v>272</v>
      </c>
    </row>
    <row r="37" spans="1:30" ht="13.5" thickBot="1" x14ac:dyDescent="0.25">
      <c r="A37" s="304" t="s">
        <v>273</v>
      </c>
      <c r="B37" s="652">
        <f>DATOS!D209</f>
        <v>12</v>
      </c>
      <c r="C37" s="652">
        <f>DATOS!D210</f>
        <v>12</v>
      </c>
      <c r="D37" s="292">
        <f>DATOS!F209</f>
        <v>12</v>
      </c>
      <c r="E37" s="292">
        <f>DATOS!F210</f>
        <v>12</v>
      </c>
      <c r="F37" s="293">
        <f>DATOS!H209</f>
        <v>12</v>
      </c>
      <c r="G37" s="293">
        <f>DATOS!H210</f>
        <v>12</v>
      </c>
      <c r="H37" s="294">
        <f>DATOS!J209</f>
        <v>12</v>
      </c>
      <c r="I37" s="294">
        <f>DATOS!J210</f>
        <v>12</v>
      </c>
      <c r="J37" s="295">
        <f>DATOS!L209</f>
        <v>12</v>
      </c>
      <c r="K37" s="295">
        <f>DATOS!L210</f>
        <v>12</v>
      </c>
      <c r="L37" s="296">
        <f>DATOS!N209</f>
        <v>0</v>
      </c>
      <c r="M37" s="296">
        <f>DATOS!N210</f>
        <v>0</v>
      </c>
      <c r="N37" s="297">
        <f>DATOS!P209</f>
        <v>0</v>
      </c>
      <c r="O37" s="297">
        <f>DATOS!P210</f>
        <v>0</v>
      </c>
      <c r="P37" s="298">
        <f>DATOS!R209</f>
        <v>0</v>
      </c>
      <c r="Q37" s="298">
        <f>DATOS!R210</f>
        <v>0</v>
      </c>
      <c r="R37" s="299">
        <f>DATOS!T209</f>
        <v>0</v>
      </c>
      <c r="S37" s="299">
        <f>DATOS!T210</f>
        <v>0</v>
      </c>
      <c r="T37" s="300">
        <f>DATOS!V209</f>
        <v>0</v>
      </c>
      <c r="U37" s="300">
        <f>DATOS!V210</f>
        <v>0</v>
      </c>
      <c r="V37" s="301">
        <f>DATOS!X209</f>
        <v>0</v>
      </c>
      <c r="W37" s="301">
        <f>DATOS!X210</f>
        <v>0</v>
      </c>
      <c r="X37" s="302">
        <f>DATOS!Z209</f>
        <v>0</v>
      </c>
      <c r="Y37" s="302">
        <f>DATOS!Z210</f>
        <v>0</v>
      </c>
      <c r="Z37" s="303">
        <f>DATOS!AB209</f>
        <v>12</v>
      </c>
      <c r="AA37" s="681">
        <f>DATOS!AB210</f>
        <v>12</v>
      </c>
    </row>
    <row r="38" spans="1:30" ht="20.25" x14ac:dyDescent="0.3">
      <c r="A38" s="305">
        <v>21</v>
      </c>
      <c r="B38" s="306" t="s">
        <v>242</v>
      </c>
      <c r="C38" s="306" t="s">
        <v>250</v>
      </c>
      <c r="D38" s="307" t="s">
        <v>242</v>
      </c>
      <c r="E38" s="307" t="s">
        <v>250</v>
      </c>
      <c r="F38" s="308" t="s">
        <v>242</v>
      </c>
      <c r="G38" s="308" t="s">
        <v>250</v>
      </c>
      <c r="H38" s="309" t="s">
        <v>242</v>
      </c>
      <c r="I38" s="310" t="s">
        <v>250</v>
      </c>
      <c r="J38" s="311" t="s">
        <v>242</v>
      </c>
      <c r="K38" s="312" t="s">
        <v>250</v>
      </c>
      <c r="L38" s="313" t="s">
        <v>242</v>
      </c>
      <c r="M38" s="313" t="s">
        <v>250</v>
      </c>
      <c r="N38" s="314" t="s">
        <v>242</v>
      </c>
      <c r="O38" s="314" t="s">
        <v>250</v>
      </c>
      <c r="P38" s="315" t="s">
        <v>242</v>
      </c>
      <c r="Q38" s="315" t="s">
        <v>250</v>
      </c>
      <c r="R38" s="316" t="s">
        <v>242</v>
      </c>
      <c r="S38" s="316" t="s">
        <v>250</v>
      </c>
      <c r="T38" s="317" t="s">
        <v>242</v>
      </c>
      <c r="U38" s="317" t="s">
        <v>250</v>
      </c>
      <c r="V38" s="318" t="s">
        <v>242</v>
      </c>
      <c r="W38" s="318" t="s">
        <v>250</v>
      </c>
      <c r="X38" s="319" t="s">
        <v>242</v>
      </c>
      <c r="Y38" s="319" t="s">
        <v>250</v>
      </c>
      <c r="Z38" s="320"/>
      <c r="AA38" s="320"/>
    </row>
    <row r="39" spans="1:30" ht="16.5" thickBot="1" x14ac:dyDescent="0.3">
      <c r="A39" s="321" t="s">
        <v>274</v>
      </c>
      <c r="B39" s="322">
        <f>B37/A38</f>
        <v>0.5714285714285714</v>
      </c>
      <c r="C39" s="322">
        <f>C37/A38</f>
        <v>0.5714285714285714</v>
      </c>
      <c r="D39" s="323">
        <f>D37/A38</f>
        <v>0.5714285714285714</v>
      </c>
      <c r="E39" s="323">
        <f>E37/A38</f>
        <v>0.5714285714285714</v>
      </c>
      <c r="F39" s="324">
        <f>F37/A38</f>
        <v>0.5714285714285714</v>
      </c>
      <c r="G39" s="324">
        <f>G37/A38</f>
        <v>0.5714285714285714</v>
      </c>
      <c r="H39" s="325">
        <f>H37/A38</f>
        <v>0.5714285714285714</v>
      </c>
      <c r="I39" s="326">
        <f>I37/A38</f>
        <v>0.5714285714285714</v>
      </c>
      <c r="J39" s="327">
        <f>J37/A38</f>
        <v>0.5714285714285714</v>
      </c>
      <c r="K39" s="327">
        <f>K37/A38</f>
        <v>0.5714285714285714</v>
      </c>
      <c r="L39" s="328">
        <f>L37/A38</f>
        <v>0</v>
      </c>
      <c r="M39" s="328">
        <f>M37/A38</f>
        <v>0</v>
      </c>
      <c r="N39" s="329">
        <f>N37/A38</f>
        <v>0</v>
      </c>
      <c r="O39" s="329">
        <f>O37/A38</f>
        <v>0</v>
      </c>
      <c r="P39" s="330">
        <f>P37/A38</f>
        <v>0</v>
      </c>
      <c r="Q39" s="331">
        <f>Q37/A38</f>
        <v>0</v>
      </c>
      <c r="R39" s="332">
        <f>R37/A38</f>
        <v>0</v>
      </c>
      <c r="S39" s="332">
        <f>S37/A38</f>
        <v>0</v>
      </c>
      <c r="T39" s="333">
        <f>T37/A38</f>
        <v>0</v>
      </c>
      <c r="U39" s="333">
        <f>U37/A38</f>
        <v>0</v>
      </c>
      <c r="V39" s="334">
        <f>V37/A38</f>
        <v>0</v>
      </c>
      <c r="W39" s="334">
        <f>W37/A38</f>
        <v>0</v>
      </c>
      <c r="X39" s="335">
        <f>X37/A38</f>
        <v>0</v>
      </c>
      <c r="Y39" s="335">
        <f>Y37/A38</f>
        <v>0</v>
      </c>
      <c r="Z39" s="336">
        <f>Z37/A38</f>
        <v>0.5714285714285714</v>
      </c>
      <c r="AA39" s="653">
        <f>AA37/A38</f>
        <v>0.5714285714285714</v>
      </c>
    </row>
    <row r="40" spans="1:30" ht="13.5" thickBot="1" x14ac:dyDescent="0.25">
      <c r="B40" s="1903" t="s">
        <v>0</v>
      </c>
      <c r="C40" s="1904"/>
      <c r="D40" s="1905" t="s">
        <v>1</v>
      </c>
      <c r="E40" s="1906"/>
      <c r="F40" s="1907" t="s">
        <v>2</v>
      </c>
      <c r="G40" s="1908"/>
      <c r="H40" s="1909" t="s">
        <v>3</v>
      </c>
      <c r="I40" s="1910"/>
      <c r="J40" s="1911" t="s">
        <v>4</v>
      </c>
      <c r="K40" s="1912"/>
      <c r="L40" s="1891" t="s">
        <v>5</v>
      </c>
      <c r="M40" s="1892"/>
      <c r="N40" s="1893" t="s">
        <v>6</v>
      </c>
      <c r="O40" s="1894"/>
      <c r="P40" s="1895" t="s">
        <v>7</v>
      </c>
      <c r="Q40" s="1896"/>
      <c r="R40" s="1897" t="s">
        <v>8</v>
      </c>
      <c r="S40" s="1898"/>
      <c r="T40" s="1899" t="s">
        <v>9</v>
      </c>
      <c r="U40" s="1900"/>
      <c r="V40" s="1901" t="s">
        <v>10</v>
      </c>
      <c r="W40" s="1902"/>
      <c r="X40" s="1887" t="s">
        <v>11</v>
      </c>
      <c r="Y40" s="1888"/>
      <c r="Z40" s="1889" t="s">
        <v>275</v>
      </c>
      <c r="AA40" s="1890"/>
    </row>
    <row r="41" spans="1:30" x14ac:dyDescent="0.2">
      <c r="T41" s="143"/>
    </row>
  </sheetData>
  <mergeCells count="28">
    <mergeCell ref="B1:AA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40:C40"/>
    <mergeCell ref="D40:E40"/>
    <mergeCell ref="F40:G40"/>
    <mergeCell ref="H40:I40"/>
    <mergeCell ref="J40:K40"/>
    <mergeCell ref="X40:Y40"/>
    <mergeCell ref="Z40:AA40"/>
    <mergeCell ref="L40:M40"/>
    <mergeCell ref="N40:O40"/>
    <mergeCell ref="P40:Q40"/>
    <mergeCell ref="R40:S40"/>
    <mergeCell ref="T40:U40"/>
    <mergeCell ref="V40:W40"/>
  </mergeCells>
  <pageMargins left="0.75" right="0.75" top="1" bottom="1" header="0" footer="0"/>
  <pageSetup paperSize="9" scale="75" fitToWidth="2" orientation="landscape" r:id="rId1"/>
  <headerFooter alignWithMargins="0"/>
  <ignoredErrors>
    <ignoredError sqref="AA14 AA20 AA22 AA25" evalError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IE104"/>
  <sheetViews>
    <sheetView zoomScale="65" zoomScaleNormal="65" workbookViewId="0">
      <pane ySplit="1" topLeftCell="A53" activePane="bottomLeft" state="frozen"/>
      <selection pane="bottomLeft" activeCell="C44" sqref="C44"/>
    </sheetView>
  </sheetViews>
  <sheetFormatPr baseColWidth="10" defaultColWidth="15.42578125" defaultRowHeight="24" customHeight="1" x14ac:dyDescent="0.25"/>
  <cols>
    <col min="2" max="2" width="39.5703125" customWidth="1"/>
    <col min="3" max="3" width="18.5703125" style="563" customWidth="1"/>
    <col min="4" max="4" width="20.5703125" customWidth="1"/>
    <col min="28" max="28" width="20" customWidth="1"/>
  </cols>
  <sheetData>
    <row r="1" spans="1:239" ht="24" customHeight="1" thickBot="1" x14ac:dyDescent="0.3">
      <c r="B1" s="1932" t="s">
        <v>720</v>
      </c>
      <c r="C1" s="1932"/>
      <c r="D1" s="1932"/>
      <c r="E1" s="1040">
        <v>16</v>
      </c>
      <c r="F1" s="1040"/>
      <c r="G1" s="1040">
        <v>19</v>
      </c>
      <c r="H1" s="1040"/>
      <c r="I1" s="1040">
        <v>23</v>
      </c>
      <c r="J1" s="1040"/>
      <c r="K1" s="1040">
        <v>19</v>
      </c>
      <c r="L1" s="1040"/>
      <c r="M1" s="1040">
        <v>21</v>
      </c>
      <c r="N1" s="1040"/>
      <c r="O1" s="1040">
        <v>22</v>
      </c>
      <c r="P1" s="1040"/>
      <c r="Q1" s="1040">
        <v>21</v>
      </c>
      <c r="R1" s="1040"/>
      <c r="S1" s="1040">
        <v>12</v>
      </c>
      <c r="T1" s="1040"/>
      <c r="U1" s="1040">
        <v>22</v>
      </c>
      <c r="V1" s="1040"/>
      <c r="W1" s="1040">
        <v>20</v>
      </c>
      <c r="X1" s="1040"/>
      <c r="Y1" s="1040">
        <v>21</v>
      </c>
      <c r="Z1" s="1040"/>
      <c r="AA1" s="1040">
        <v>14</v>
      </c>
      <c r="AC1" s="1040">
        <f>SUM(E1:AB1)</f>
        <v>230</v>
      </c>
    </row>
    <row r="2" spans="1:239" s="1039" customFormat="1" ht="24" customHeight="1" thickTop="1" thickBot="1" x14ac:dyDescent="0.3">
      <c r="A2" s="1933" t="s">
        <v>804</v>
      </c>
      <c r="B2" s="1934"/>
      <c r="C2" s="564"/>
      <c r="E2" s="1039" t="s">
        <v>128</v>
      </c>
      <c r="F2" s="1039" t="s">
        <v>128</v>
      </c>
      <c r="G2" s="1039" t="s">
        <v>129</v>
      </c>
      <c r="H2" s="1039" t="s">
        <v>129</v>
      </c>
      <c r="I2" s="1039" t="s">
        <v>130</v>
      </c>
      <c r="J2" s="1039" t="s">
        <v>130</v>
      </c>
      <c r="K2" s="1039" t="s">
        <v>131</v>
      </c>
      <c r="L2" s="1039" t="s">
        <v>131</v>
      </c>
      <c r="M2" s="1039" t="s">
        <v>132</v>
      </c>
      <c r="N2" s="1039" t="s">
        <v>132</v>
      </c>
      <c r="O2" s="1039" t="s">
        <v>133</v>
      </c>
      <c r="P2" s="1039" t="s">
        <v>133</v>
      </c>
      <c r="Q2" s="1039" t="s">
        <v>134</v>
      </c>
      <c r="R2" s="1039" t="s">
        <v>134</v>
      </c>
      <c r="S2" s="1039" t="s">
        <v>135</v>
      </c>
      <c r="T2" s="1039" t="s">
        <v>135</v>
      </c>
      <c r="U2" s="1039" t="s">
        <v>136</v>
      </c>
      <c r="V2" s="1039" t="s">
        <v>136</v>
      </c>
      <c r="W2" s="1039" t="s">
        <v>137</v>
      </c>
      <c r="X2" s="1039" t="s">
        <v>137</v>
      </c>
      <c r="Y2" s="1039" t="s">
        <v>138</v>
      </c>
      <c r="Z2" s="1039" t="s">
        <v>138</v>
      </c>
      <c r="AA2" s="1039" t="s">
        <v>139</v>
      </c>
      <c r="AB2" s="1039" t="s">
        <v>139</v>
      </c>
    </row>
    <row r="3" spans="1:239" s="561" customFormat="1" ht="24" customHeight="1" thickTop="1" thickBot="1" x14ac:dyDescent="0.3">
      <c r="A3" s="562" t="s">
        <v>425</v>
      </c>
      <c r="B3" s="562" t="s">
        <v>222</v>
      </c>
      <c r="C3" s="1041" t="s">
        <v>426</v>
      </c>
      <c r="D3" s="1042" t="s">
        <v>427</v>
      </c>
      <c r="E3" s="1042" t="s">
        <v>428</v>
      </c>
      <c r="F3" s="1042" t="s">
        <v>429</v>
      </c>
      <c r="G3" s="1042" t="s">
        <v>430</v>
      </c>
      <c r="H3" s="1042" t="s">
        <v>431</v>
      </c>
      <c r="I3" s="1042" t="s">
        <v>432</v>
      </c>
      <c r="J3" s="1042" t="s">
        <v>433</v>
      </c>
      <c r="K3" s="1042" t="s">
        <v>434</v>
      </c>
      <c r="L3" s="1042" t="s">
        <v>435</v>
      </c>
      <c r="M3" s="1042" t="s">
        <v>436</v>
      </c>
      <c r="N3" s="1042" t="s">
        <v>437</v>
      </c>
      <c r="O3" s="1042" t="s">
        <v>438</v>
      </c>
      <c r="P3" s="1042" t="s">
        <v>439</v>
      </c>
      <c r="Q3" s="1042" t="s">
        <v>440</v>
      </c>
      <c r="R3" s="1042" t="s">
        <v>441</v>
      </c>
      <c r="S3" s="1042" t="s">
        <v>442</v>
      </c>
      <c r="T3" s="1042" t="s">
        <v>443</v>
      </c>
      <c r="U3" s="1042" t="s">
        <v>444</v>
      </c>
      <c r="V3" s="1042" t="s">
        <v>445</v>
      </c>
      <c r="W3" s="1042" t="s">
        <v>446</v>
      </c>
      <c r="X3" s="1042" t="s">
        <v>447</v>
      </c>
      <c r="Y3" s="1042" t="s">
        <v>448</v>
      </c>
      <c r="Z3" s="1042" t="s">
        <v>449</v>
      </c>
      <c r="AA3" s="1042" t="s">
        <v>450</v>
      </c>
      <c r="AB3" s="1042" t="s">
        <v>451</v>
      </c>
      <c r="AC3" s="1038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</row>
    <row r="4" spans="1:239" ht="24" customHeight="1" thickTop="1" thickBot="1" x14ac:dyDescent="0.3">
      <c r="A4" s="561" t="s">
        <v>452</v>
      </c>
      <c r="B4" s="561" t="s">
        <v>453</v>
      </c>
      <c r="C4" s="1043">
        <v>250000</v>
      </c>
      <c r="D4" s="1044">
        <v>0</v>
      </c>
      <c r="E4" s="1044">
        <f>($C4*$E$1)/$AC$1</f>
        <v>17391.304347826088</v>
      </c>
      <c r="F4" s="1044">
        <v>0</v>
      </c>
      <c r="G4" s="1044">
        <f>($C4*$G$1)/$AC$1</f>
        <v>20652.17391304348</v>
      </c>
      <c r="H4" s="1044">
        <v>0</v>
      </c>
      <c r="I4" s="1044">
        <f>($C4*$I$1)/$AC$1</f>
        <v>25000</v>
      </c>
      <c r="J4" s="1044">
        <v>0</v>
      </c>
      <c r="K4" s="1044">
        <f>($C4*$K$1)/$AC$1</f>
        <v>20652.17391304348</v>
      </c>
      <c r="L4" s="1044">
        <v>0</v>
      </c>
      <c r="M4" s="1044">
        <f>($C4*$M$1)/$AC$1</f>
        <v>22826.08695652174</v>
      </c>
      <c r="N4" s="1044">
        <v>0</v>
      </c>
      <c r="O4" s="1044">
        <f>($C4*$O$1)/$AC$1</f>
        <v>23913.043478260868</v>
      </c>
      <c r="P4" s="1044">
        <v>0</v>
      </c>
      <c r="Q4" s="1044">
        <f>($C4*$Q$1)/$AC$1</f>
        <v>22826.08695652174</v>
      </c>
      <c r="R4" s="1044">
        <v>0</v>
      </c>
      <c r="S4" s="1044">
        <f>($C4*$S$1)/$AC$1</f>
        <v>13043.478260869566</v>
      </c>
      <c r="T4" s="1044">
        <v>0</v>
      </c>
      <c r="U4" s="1044">
        <f>($C4*$U$1)/$AC$1</f>
        <v>23913.043478260868</v>
      </c>
      <c r="V4" s="1044">
        <v>0</v>
      </c>
      <c r="W4" s="1044">
        <f>($C4*$W$1)/$AC$1</f>
        <v>21739.130434782608</v>
      </c>
      <c r="X4" s="1044">
        <v>0</v>
      </c>
      <c r="Y4" s="1044">
        <f>($C4*$Y$1)/$AC$1</f>
        <v>22826.08695652174</v>
      </c>
      <c r="Z4" s="1044">
        <v>0</v>
      </c>
      <c r="AA4" s="1044">
        <f>($C4*$AA$1)/$AC$1</f>
        <v>15217.391304347826</v>
      </c>
      <c r="AB4" s="1044">
        <v>0</v>
      </c>
    </row>
    <row r="5" spans="1:239" ht="24" customHeight="1" thickTop="1" thickBot="1" x14ac:dyDescent="0.3">
      <c r="A5" s="561" t="s">
        <v>454</v>
      </c>
      <c r="B5" s="561" t="s">
        <v>455</v>
      </c>
      <c r="C5" s="1045">
        <v>150000</v>
      </c>
      <c r="D5" s="1046">
        <v>0</v>
      </c>
      <c r="E5" s="1046">
        <f t="shared" ref="E5:E11" si="0">($C5*$E$1)/$AC$1</f>
        <v>10434.782608695652</v>
      </c>
      <c r="F5" s="1046">
        <v>0</v>
      </c>
      <c r="G5" s="1046">
        <f t="shared" ref="G5:G11" si="1">($C5*$G$1)/$AC$1</f>
        <v>12391.304347826086</v>
      </c>
      <c r="H5" s="1046">
        <v>0</v>
      </c>
      <c r="I5" s="1046">
        <f t="shared" ref="I5:I11" si="2">($C5*$I$1)/$AC$1</f>
        <v>15000</v>
      </c>
      <c r="J5" s="1046">
        <v>0</v>
      </c>
      <c r="K5" s="1046">
        <f t="shared" ref="K5:K11" si="3">($C5*$K$1)/$AC$1</f>
        <v>12391.304347826086</v>
      </c>
      <c r="L5" s="1046">
        <v>0</v>
      </c>
      <c r="M5" s="1046">
        <f t="shared" ref="M5:M11" si="4">($C5*$M$1)/$AC$1</f>
        <v>13695.652173913044</v>
      </c>
      <c r="N5" s="1046">
        <v>0</v>
      </c>
      <c r="O5" s="1046">
        <f t="shared" ref="O5:O11" si="5">($C5*$O$1)/$AC$1</f>
        <v>14347.826086956522</v>
      </c>
      <c r="P5" s="1046">
        <v>0</v>
      </c>
      <c r="Q5" s="1046">
        <f t="shared" ref="Q5:Q11" si="6">($C5*$Q$1)/$AC$1</f>
        <v>13695.652173913044</v>
      </c>
      <c r="R5" s="1046">
        <v>0</v>
      </c>
      <c r="S5" s="1046">
        <f t="shared" ref="S5:S11" si="7">($C5*$S$1)/$AC$1</f>
        <v>7826.086956521739</v>
      </c>
      <c r="T5" s="1046">
        <v>0</v>
      </c>
      <c r="U5" s="1046">
        <f t="shared" ref="U5:U11" si="8">($C5*$U$1)/$AC$1</f>
        <v>14347.826086956522</v>
      </c>
      <c r="V5" s="1046">
        <v>0</v>
      </c>
      <c r="W5" s="1046">
        <f t="shared" ref="W5:W11" si="9">($C5*$W$1)/$AC$1</f>
        <v>13043.478260869566</v>
      </c>
      <c r="X5" s="1046">
        <v>0</v>
      </c>
      <c r="Y5" s="1046">
        <f t="shared" ref="Y5:Y11" si="10">($C5*$Y$1)/$AC$1</f>
        <v>13695.652173913044</v>
      </c>
      <c r="Z5" s="1046">
        <v>0</v>
      </c>
      <c r="AA5" s="1046">
        <f t="shared" ref="AA5:AA11" si="11">($C5*$AA$1)/$AC$1</f>
        <v>9130.434782608696</v>
      </c>
      <c r="AB5" s="1046">
        <v>0</v>
      </c>
    </row>
    <row r="6" spans="1:239" ht="24" customHeight="1" thickTop="1" thickBot="1" x14ac:dyDescent="0.3">
      <c r="A6" s="561" t="s">
        <v>456</v>
      </c>
      <c r="B6" s="561" t="s">
        <v>721</v>
      </c>
      <c r="C6" s="1045">
        <v>0</v>
      </c>
      <c r="D6" s="1046">
        <v>0</v>
      </c>
      <c r="E6" s="1046">
        <f t="shared" si="0"/>
        <v>0</v>
      </c>
      <c r="F6" s="1046">
        <v>0</v>
      </c>
      <c r="G6" s="1046">
        <f t="shared" si="1"/>
        <v>0</v>
      </c>
      <c r="H6" s="1046">
        <v>0</v>
      </c>
      <c r="I6" s="1046">
        <f t="shared" si="2"/>
        <v>0</v>
      </c>
      <c r="J6" s="1046">
        <v>0</v>
      </c>
      <c r="K6" s="1046">
        <f t="shared" si="3"/>
        <v>0</v>
      </c>
      <c r="L6" s="1046">
        <v>0</v>
      </c>
      <c r="M6" s="1046">
        <f t="shared" si="4"/>
        <v>0</v>
      </c>
      <c r="N6" s="1046">
        <v>0</v>
      </c>
      <c r="O6" s="1046">
        <f t="shared" si="5"/>
        <v>0</v>
      </c>
      <c r="P6" s="1046">
        <v>0</v>
      </c>
      <c r="Q6" s="1046">
        <f t="shared" si="6"/>
        <v>0</v>
      </c>
      <c r="R6" s="1046">
        <v>0</v>
      </c>
      <c r="S6" s="1046">
        <f t="shared" si="7"/>
        <v>0</v>
      </c>
      <c r="T6" s="1046">
        <v>0</v>
      </c>
      <c r="U6" s="1046">
        <f t="shared" si="8"/>
        <v>0</v>
      </c>
      <c r="V6" s="1046">
        <v>0</v>
      </c>
      <c r="W6" s="1046">
        <f t="shared" si="9"/>
        <v>0</v>
      </c>
      <c r="X6" s="1046">
        <v>0</v>
      </c>
      <c r="Y6" s="1046">
        <f t="shared" si="10"/>
        <v>0</v>
      </c>
      <c r="Z6" s="1046">
        <v>0</v>
      </c>
      <c r="AA6" s="1046">
        <f t="shared" si="11"/>
        <v>0</v>
      </c>
      <c r="AB6" s="1046">
        <v>0</v>
      </c>
    </row>
    <row r="7" spans="1:239" ht="24" customHeight="1" thickTop="1" thickBot="1" x14ac:dyDescent="0.3">
      <c r="A7" s="1047">
        <v>6070003</v>
      </c>
      <c r="B7" s="561" t="s">
        <v>731</v>
      </c>
      <c r="C7" s="1045">
        <v>0</v>
      </c>
      <c r="D7" s="1046">
        <v>0</v>
      </c>
      <c r="E7" s="1046">
        <f t="shared" si="0"/>
        <v>0</v>
      </c>
      <c r="F7" s="1046">
        <v>1</v>
      </c>
      <c r="G7" s="1046">
        <f t="shared" si="1"/>
        <v>0</v>
      </c>
      <c r="H7" s="1046">
        <v>1</v>
      </c>
      <c r="I7" s="1046">
        <f t="shared" si="2"/>
        <v>0</v>
      </c>
      <c r="J7" s="1046">
        <v>1</v>
      </c>
      <c r="K7" s="1046">
        <f t="shared" si="3"/>
        <v>0</v>
      </c>
      <c r="L7" s="1046">
        <v>1</v>
      </c>
      <c r="M7" s="1046">
        <f t="shared" si="4"/>
        <v>0</v>
      </c>
      <c r="N7" s="1046">
        <v>1</v>
      </c>
      <c r="O7" s="1046">
        <f t="shared" si="5"/>
        <v>0</v>
      </c>
      <c r="P7" s="1046">
        <v>1</v>
      </c>
      <c r="Q7" s="1046">
        <f t="shared" si="6"/>
        <v>0</v>
      </c>
      <c r="R7" s="1046">
        <v>1</v>
      </c>
      <c r="S7" s="1046">
        <f t="shared" si="7"/>
        <v>0</v>
      </c>
      <c r="T7" s="1046">
        <v>1</v>
      </c>
      <c r="U7" s="1046">
        <f t="shared" si="8"/>
        <v>0</v>
      </c>
      <c r="V7" s="1046">
        <v>1</v>
      </c>
      <c r="W7" s="1046">
        <f t="shared" si="9"/>
        <v>0</v>
      </c>
      <c r="X7" s="1046">
        <v>1</v>
      </c>
      <c r="Y7" s="1046">
        <f t="shared" si="10"/>
        <v>0</v>
      </c>
      <c r="Z7" s="1046">
        <v>1</v>
      </c>
      <c r="AA7" s="1046">
        <f t="shared" si="11"/>
        <v>0</v>
      </c>
      <c r="AB7" s="1046">
        <v>1</v>
      </c>
    </row>
    <row r="8" spans="1:239" ht="24" customHeight="1" thickTop="1" thickBot="1" x14ac:dyDescent="0.3">
      <c r="A8" s="1047">
        <v>6070005</v>
      </c>
      <c r="B8" s="561" t="s">
        <v>1041</v>
      </c>
      <c r="C8" s="1045">
        <v>40000</v>
      </c>
      <c r="D8" s="1046">
        <v>0</v>
      </c>
      <c r="E8" s="1046">
        <f t="shared" si="0"/>
        <v>2782.608695652174</v>
      </c>
      <c r="F8" s="1046">
        <v>0</v>
      </c>
      <c r="G8" s="1046">
        <f t="shared" si="1"/>
        <v>3304.3478260869565</v>
      </c>
      <c r="H8" s="1046">
        <v>0</v>
      </c>
      <c r="I8" s="1046">
        <f t="shared" si="2"/>
        <v>4000</v>
      </c>
      <c r="J8" s="1046">
        <v>0</v>
      </c>
      <c r="K8" s="1046">
        <f t="shared" si="3"/>
        <v>3304.3478260869565</v>
      </c>
      <c r="L8" s="1046">
        <v>0</v>
      </c>
      <c r="M8" s="1046">
        <f t="shared" si="4"/>
        <v>3652.1739130434785</v>
      </c>
      <c r="N8" s="1046">
        <v>0</v>
      </c>
      <c r="O8" s="1046">
        <f t="shared" si="5"/>
        <v>3826.086956521739</v>
      </c>
      <c r="P8" s="1046">
        <v>0</v>
      </c>
      <c r="Q8" s="1046">
        <f t="shared" si="6"/>
        <v>3652.1739130434785</v>
      </c>
      <c r="R8" s="1046">
        <v>0</v>
      </c>
      <c r="S8" s="1046">
        <f t="shared" si="7"/>
        <v>2086.9565217391305</v>
      </c>
      <c r="T8" s="1046">
        <v>0</v>
      </c>
      <c r="U8" s="1046">
        <f t="shared" si="8"/>
        <v>3826.086956521739</v>
      </c>
      <c r="V8" s="1046">
        <v>0</v>
      </c>
      <c r="W8" s="1046">
        <f t="shared" si="9"/>
        <v>3478.2608695652175</v>
      </c>
      <c r="X8" s="1046">
        <v>0</v>
      </c>
      <c r="Y8" s="1046">
        <f t="shared" si="10"/>
        <v>3652.1739130434785</v>
      </c>
      <c r="Z8" s="1046">
        <v>0</v>
      </c>
      <c r="AA8" s="1046">
        <f t="shared" si="11"/>
        <v>2434.782608695652</v>
      </c>
      <c r="AB8" s="1046">
        <v>0</v>
      </c>
    </row>
    <row r="9" spans="1:239" ht="24" customHeight="1" thickTop="1" thickBot="1" x14ac:dyDescent="0.3">
      <c r="A9" s="1047">
        <v>6110000</v>
      </c>
      <c r="B9" s="561" t="s">
        <v>732</v>
      </c>
      <c r="C9" s="1045">
        <v>10000</v>
      </c>
      <c r="D9" s="1046">
        <v>0</v>
      </c>
      <c r="E9" s="1046">
        <f t="shared" si="0"/>
        <v>695.6521739130435</v>
      </c>
      <c r="F9" s="1046">
        <v>0</v>
      </c>
      <c r="G9" s="1046">
        <f t="shared" si="1"/>
        <v>826.08695652173913</v>
      </c>
      <c r="H9" s="1046">
        <v>0</v>
      </c>
      <c r="I9" s="1046">
        <f t="shared" si="2"/>
        <v>1000</v>
      </c>
      <c r="J9" s="1046">
        <v>0</v>
      </c>
      <c r="K9" s="1046">
        <f t="shared" si="3"/>
        <v>826.08695652173913</v>
      </c>
      <c r="L9" s="1046">
        <v>0</v>
      </c>
      <c r="M9" s="1046">
        <f t="shared" si="4"/>
        <v>913.04347826086962</v>
      </c>
      <c r="N9" s="1046">
        <v>0</v>
      </c>
      <c r="O9" s="1046">
        <f t="shared" si="5"/>
        <v>956.52173913043475</v>
      </c>
      <c r="P9" s="1046">
        <v>0</v>
      </c>
      <c r="Q9" s="1046">
        <f t="shared" si="6"/>
        <v>913.04347826086962</v>
      </c>
      <c r="R9" s="1046">
        <v>0</v>
      </c>
      <c r="S9" s="1046">
        <f t="shared" si="7"/>
        <v>521.73913043478262</v>
      </c>
      <c r="T9" s="1046">
        <v>0</v>
      </c>
      <c r="U9" s="1046">
        <f t="shared" si="8"/>
        <v>956.52173913043475</v>
      </c>
      <c r="V9" s="1046">
        <v>0</v>
      </c>
      <c r="W9" s="1046">
        <f t="shared" si="9"/>
        <v>869.56521739130437</v>
      </c>
      <c r="X9" s="1046">
        <v>0</v>
      </c>
      <c r="Y9" s="1046">
        <f t="shared" si="10"/>
        <v>913.04347826086962</v>
      </c>
      <c r="Z9" s="1046">
        <v>0</v>
      </c>
      <c r="AA9" s="1046">
        <f t="shared" si="11"/>
        <v>608.695652173913</v>
      </c>
      <c r="AB9" s="1046">
        <v>0</v>
      </c>
    </row>
    <row r="10" spans="1:239" ht="24" customHeight="1" thickTop="1" thickBot="1" x14ac:dyDescent="0.3">
      <c r="A10" s="561" t="s">
        <v>457</v>
      </c>
      <c r="B10" s="561" t="s">
        <v>458</v>
      </c>
      <c r="C10" s="1045">
        <v>9600</v>
      </c>
      <c r="D10" s="1046">
        <v>0</v>
      </c>
      <c r="E10" s="1046">
        <f t="shared" ref="E10:E14" si="12">$C10/12</f>
        <v>800</v>
      </c>
      <c r="F10" s="1046">
        <v>0</v>
      </c>
      <c r="G10" s="1046">
        <f t="shared" ref="G10:G14" si="13">$C10/12</f>
        <v>800</v>
      </c>
      <c r="H10" s="1046">
        <v>0</v>
      </c>
      <c r="I10" s="1046">
        <f t="shared" ref="I10:I14" si="14">$C10/12</f>
        <v>800</v>
      </c>
      <c r="J10" s="1046">
        <v>0</v>
      </c>
      <c r="K10" s="1046">
        <f t="shared" ref="K10:K14" si="15">$C10/12</f>
        <v>800</v>
      </c>
      <c r="L10" s="1046">
        <v>0</v>
      </c>
      <c r="M10" s="1046">
        <f t="shared" ref="M10:M14" si="16">$C10/12</f>
        <v>800</v>
      </c>
      <c r="N10" s="1046">
        <v>0</v>
      </c>
      <c r="O10" s="1046">
        <f t="shared" ref="O10:O14" si="17">$C10/12</f>
        <v>800</v>
      </c>
      <c r="P10" s="1046">
        <v>0</v>
      </c>
      <c r="Q10" s="1046">
        <f t="shared" ref="Q10:Q14" si="18">$C10/12</f>
        <v>800</v>
      </c>
      <c r="R10" s="1046">
        <v>0</v>
      </c>
      <c r="S10" s="1046">
        <f t="shared" ref="S10:S14" si="19">$C10/12</f>
        <v>800</v>
      </c>
      <c r="T10" s="1046">
        <v>0</v>
      </c>
      <c r="U10" s="1046">
        <f t="shared" ref="U10:U14" si="20">$C10/12</f>
        <v>800</v>
      </c>
      <c r="V10" s="1046">
        <v>0</v>
      </c>
      <c r="W10" s="1046">
        <f t="shared" ref="W10:W14" si="21">$C10/12</f>
        <v>800</v>
      </c>
      <c r="X10" s="1046">
        <v>0</v>
      </c>
      <c r="Y10" s="1046">
        <f t="shared" ref="Y10:Y14" si="22">$C10/12</f>
        <v>800</v>
      </c>
      <c r="Z10" s="1046">
        <v>0</v>
      </c>
      <c r="AA10" s="1046">
        <f t="shared" ref="AA10:AA14" si="23">$C10/12</f>
        <v>800</v>
      </c>
      <c r="AB10" s="1046">
        <v>0</v>
      </c>
    </row>
    <row r="11" spans="1:239" ht="24" customHeight="1" thickTop="1" thickBot="1" x14ac:dyDescent="0.3">
      <c r="A11" s="1047">
        <v>6210002</v>
      </c>
      <c r="B11" s="561" t="s">
        <v>733</v>
      </c>
      <c r="C11" s="1045">
        <v>9000</v>
      </c>
      <c r="D11" s="1046">
        <v>0</v>
      </c>
      <c r="E11" s="1046">
        <f t="shared" si="0"/>
        <v>626.08695652173913</v>
      </c>
      <c r="F11" s="1046">
        <v>0</v>
      </c>
      <c r="G11" s="1046">
        <f t="shared" si="1"/>
        <v>743.47826086956525</v>
      </c>
      <c r="H11" s="1046">
        <v>0</v>
      </c>
      <c r="I11" s="1046">
        <f t="shared" si="2"/>
        <v>900</v>
      </c>
      <c r="J11" s="1046">
        <v>0</v>
      </c>
      <c r="K11" s="1046">
        <f t="shared" si="3"/>
        <v>743.47826086956525</v>
      </c>
      <c r="L11" s="1046">
        <v>0</v>
      </c>
      <c r="M11" s="1046">
        <f t="shared" si="4"/>
        <v>821.73913043478262</v>
      </c>
      <c r="N11" s="1046">
        <v>0</v>
      </c>
      <c r="O11" s="1046">
        <f t="shared" si="5"/>
        <v>860.86956521739125</v>
      </c>
      <c r="P11" s="1046">
        <v>0</v>
      </c>
      <c r="Q11" s="1046">
        <f t="shared" si="6"/>
        <v>821.73913043478262</v>
      </c>
      <c r="R11" s="1046">
        <v>0</v>
      </c>
      <c r="S11" s="1046">
        <f t="shared" si="7"/>
        <v>469.56521739130437</v>
      </c>
      <c r="T11" s="1046">
        <v>0</v>
      </c>
      <c r="U11" s="1046">
        <f t="shared" si="8"/>
        <v>860.86956521739125</v>
      </c>
      <c r="V11" s="1046">
        <v>0</v>
      </c>
      <c r="W11" s="1046">
        <f t="shared" si="9"/>
        <v>782.60869565217388</v>
      </c>
      <c r="X11" s="1046">
        <v>0</v>
      </c>
      <c r="Y11" s="1046">
        <f t="shared" si="10"/>
        <v>821.73913043478262</v>
      </c>
      <c r="Z11" s="1046">
        <v>0</v>
      </c>
      <c r="AA11" s="1046">
        <f t="shared" si="11"/>
        <v>547.82608695652175</v>
      </c>
      <c r="AB11" s="1046">
        <v>0</v>
      </c>
    </row>
    <row r="12" spans="1:239" ht="24" customHeight="1" thickTop="1" thickBot="1" x14ac:dyDescent="0.3">
      <c r="A12" s="561" t="s">
        <v>459</v>
      </c>
      <c r="B12" s="561" t="s">
        <v>460</v>
      </c>
      <c r="C12" s="1045">
        <v>3000</v>
      </c>
      <c r="D12" s="1046">
        <v>0</v>
      </c>
      <c r="E12" s="1046">
        <f t="shared" si="12"/>
        <v>250</v>
      </c>
      <c r="F12" s="1046">
        <v>0</v>
      </c>
      <c r="G12" s="1046">
        <f t="shared" si="13"/>
        <v>250</v>
      </c>
      <c r="H12" s="1046">
        <v>0</v>
      </c>
      <c r="I12" s="1046">
        <f t="shared" si="14"/>
        <v>250</v>
      </c>
      <c r="J12" s="1046">
        <v>0</v>
      </c>
      <c r="K12" s="1046">
        <f t="shared" si="15"/>
        <v>250</v>
      </c>
      <c r="L12" s="1046">
        <v>0</v>
      </c>
      <c r="M12" s="1046">
        <f t="shared" si="16"/>
        <v>250</v>
      </c>
      <c r="N12" s="1046">
        <v>0</v>
      </c>
      <c r="O12" s="1046">
        <f t="shared" si="17"/>
        <v>250</v>
      </c>
      <c r="P12" s="1046">
        <v>0</v>
      </c>
      <c r="Q12" s="1046">
        <f t="shared" si="18"/>
        <v>250</v>
      </c>
      <c r="R12" s="1046">
        <v>0</v>
      </c>
      <c r="S12" s="1046">
        <f t="shared" si="19"/>
        <v>250</v>
      </c>
      <c r="T12" s="1046">
        <v>0</v>
      </c>
      <c r="U12" s="1046">
        <f t="shared" si="20"/>
        <v>250</v>
      </c>
      <c r="V12" s="1046">
        <v>0</v>
      </c>
      <c r="W12" s="1046">
        <f t="shared" si="21"/>
        <v>250</v>
      </c>
      <c r="X12" s="1046">
        <v>0</v>
      </c>
      <c r="Y12" s="1046">
        <f t="shared" si="22"/>
        <v>250</v>
      </c>
      <c r="Z12" s="1046">
        <v>0</v>
      </c>
      <c r="AA12" s="1046">
        <f t="shared" si="23"/>
        <v>250</v>
      </c>
      <c r="AB12" s="1046">
        <v>0</v>
      </c>
    </row>
    <row r="13" spans="1:239" ht="24" customHeight="1" thickTop="1" thickBot="1" x14ac:dyDescent="0.3">
      <c r="A13" s="561" t="s">
        <v>461</v>
      </c>
      <c r="B13" s="1048" t="s">
        <v>462</v>
      </c>
      <c r="C13" s="1045">
        <v>4601.76</v>
      </c>
      <c r="D13" s="1046">
        <v>0</v>
      </c>
      <c r="E13" s="1046">
        <f>$C13/12</f>
        <v>383.48</v>
      </c>
      <c r="F13" s="1046">
        <v>0</v>
      </c>
      <c r="G13" s="1046">
        <f>$C13/12</f>
        <v>383.48</v>
      </c>
      <c r="H13" s="1046">
        <v>0</v>
      </c>
      <c r="I13" s="1046">
        <f>$C13/12</f>
        <v>383.48</v>
      </c>
      <c r="J13" s="1046">
        <v>0</v>
      </c>
      <c r="K13" s="1046">
        <f>$C13/12</f>
        <v>383.48</v>
      </c>
      <c r="L13" s="1046">
        <v>0</v>
      </c>
      <c r="M13" s="1046">
        <f>$C13/12</f>
        <v>383.48</v>
      </c>
      <c r="N13" s="1046">
        <v>0</v>
      </c>
      <c r="O13" s="1046">
        <f>$C13/12</f>
        <v>383.48</v>
      </c>
      <c r="P13" s="1046">
        <v>0</v>
      </c>
      <c r="Q13" s="1046">
        <f>$C13/12</f>
        <v>383.48</v>
      </c>
      <c r="R13" s="1046">
        <v>0</v>
      </c>
      <c r="S13" s="1046">
        <f>$C13/12</f>
        <v>383.48</v>
      </c>
      <c r="T13" s="1046">
        <v>0</v>
      </c>
      <c r="U13" s="1046">
        <f>$C13/12</f>
        <v>383.48</v>
      </c>
      <c r="V13" s="1046">
        <v>0</v>
      </c>
      <c r="W13" s="1046">
        <f>$C13/12</f>
        <v>383.48</v>
      </c>
      <c r="X13" s="1046">
        <v>0</v>
      </c>
      <c r="Y13" s="1046">
        <f>$C13/12</f>
        <v>383.48</v>
      </c>
      <c r="Z13" s="1046">
        <v>0</v>
      </c>
      <c r="AA13" s="1046">
        <f>$C13/12</f>
        <v>383.48</v>
      </c>
      <c r="AB13" s="1046">
        <v>0</v>
      </c>
    </row>
    <row r="14" spans="1:239" ht="24" customHeight="1" thickTop="1" thickBot="1" x14ac:dyDescent="0.3">
      <c r="A14" s="1047">
        <v>6210007</v>
      </c>
      <c r="B14" s="1048" t="s">
        <v>734</v>
      </c>
      <c r="C14" s="1045">
        <v>0</v>
      </c>
      <c r="D14" s="1046">
        <v>0</v>
      </c>
      <c r="E14" s="1046">
        <f t="shared" si="12"/>
        <v>0</v>
      </c>
      <c r="F14" s="1046">
        <v>0</v>
      </c>
      <c r="G14" s="1046">
        <f t="shared" si="13"/>
        <v>0</v>
      </c>
      <c r="H14" s="1046">
        <v>0</v>
      </c>
      <c r="I14" s="1046">
        <f t="shared" si="14"/>
        <v>0</v>
      </c>
      <c r="J14" s="1046">
        <v>0</v>
      </c>
      <c r="K14" s="1046">
        <f t="shared" si="15"/>
        <v>0</v>
      </c>
      <c r="L14" s="1046">
        <v>0</v>
      </c>
      <c r="M14" s="1046">
        <f t="shared" si="16"/>
        <v>0</v>
      </c>
      <c r="N14" s="1046">
        <v>0</v>
      </c>
      <c r="O14" s="1046">
        <f t="shared" si="17"/>
        <v>0</v>
      </c>
      <c r="P14" s="1046">
        <v>0</v>
      </c>
      <c r="Q14" s="1046">
        <f t="shared" si="18"/>
        <v>0</v>
      </c>
      <c r="R14" s="1046">
        <v>0</v>
      </c>
      <c r="S14" s="1046">
        <f t="shared" si="19"/>
        <v>0</v>
      </c>
      <c r="T14" s="1046">
        <v>0</v>
      </c>
      <c r="U14" s="1046">
        <f t="shared" si="20"/>
        <v>0</v>
      </c>
      <c r="V14" s="1046">
        <v>0</v>
      </c>
      <c r="W14" s="1046">
        <f t="shared" si="21"/>
        <v>0</v>
      </c>
      <c r="X14" s="1046">
        <v>0</v>
      </c>
      <c r="Y14" s="1046">
        <f t="shared" si="22"/>
        <v>0</v>
      </c>
      <c r="Z14" s="1046">
        <v>0</v>
      </c>
      <c r="AA14" s="1046">
        <f t="shared" si="23"/>
        <v>0</v>
      </c>
      <c r="AB14" s="1046">
        <v>0</v>
      </c>
    </row>
    <row r="15" spans="1:239" ht="24" customHeight="1" thickTop="1" thickBot="1" x14ac:dyDescent="0.3">
      <c r="A15" s="561" t="s">
        <v>463</v>
      </c>
      <c r="B15" s="561" t="s">
        <v>464</v>
      </c>
      <c r="C15" s="1045">
        <v>15000</v>
      </c>
      <c r="D15" s="1046">
        <v>0</v>
      </c>
      <c r="E15" s="1046">
        <f t="shared" ref="E15:E25" si="24">($C15*$E$1)/$AC$1</f>
        <v>1043.4782608695652</v>
      </c>
      <c r="F15" s="1046">
        <v>0</v>
      </c>
      <c r="G15" s="1046">
        <f t="shared" ref="G15:G25" si="25">($C15*$G$1)/$AC$1</f>
        <v>1239.1304347826087</v>
      </c>
      <c r="H15" s="1046">
        <v>0</v>
      </c>
      <c r="I15" s="1046">
        <f t="shared" ref="I15:I25" si="26">($C15*$I$1)/$AC$1</f>
        <v>1500</v>
      </c>
      <c r="J15" s="1046">
        <v>0</v>
      </c>
      <c r="K15" s="1046">
        <f t="shared" ref="K15:K25" si="27">($C15*$K$1)/$AC$1</f>
        <v>1239.1304347826087</v>
      </c>
      <c r="L15" s="1046">
        <v>0</v>
      </c>
      <c r="M15" s="1046">
        <f t="shared" ref="M15:M25" si="28">($C15*$M$1)/$AC$1</f>
        <v>1369.5652173913043</v>
      </c>
      <c r="N15" s="1046">
        <v>0</v>
      </c>
      <c r="O15" s="1046">
        <f t="shared" ref="O15:O25" si="29">($C15*$O$1)/$AC$1</f>
        <v>1434.7826086956522</v>
      </c>
      <c r="P15" s="1046">
        <v>0</v>
      </c>
      <c r="Q15" s="1046">
        <f t="shared" ref="Q15:Q25" si="30">($C15*$Q$1)/$AC$1</f>
        <v>1369.5652173913043</v>
      </c>
      <c r="R15" s="1046">
        <v>0</v>
      </c>
      <c r="S15" s="1046">
        <f t="shared" ref="S15:S25" si="31">($C15*$S$1)/$AC$1</f>
        <v>782.60869565217388</v>
      </c>
      <c r="T15" s="1046">
        <v>0</v>
      </c>
      <c r="U15" s="1046">
        <f t="shared" ref="U15:U25" si="32">($C15*$U$1)/$AC$1</f>
        <v>1434.7826086956522</v>
      </c>
      <c r="V15" s="1046">
        <v>0</v>
      </c>
      <c r="W15" s="1046">
        <f t="shared" ref="W15:W25" si="33">($C15*$W$1)/$AC$1</f>
        <v>1304.3478260869565</v>
      </c>
      <c r="X15" s="1046">
        <v>0</v>
      </c>
      <c r="Y15" s="1046">
        <f t="shared" ref="Y15:Y25" si="34">($C15*$Y$1)/$AC$1</f>
        <v>1369.5652173913043</v>
      </c>
      <c r="Z15" s="1046">
        <v>0</v>
      </c>
      <c r="AA15" s="1046">
        <f t="shared" ref="AA15:AA25" si="35">($C15*$AA$1)/$AC$1</f>
        <v>913.04347826086962</v>
      </c>
      <c r="AB15" s="1046">
        <v>0</v>
      </c>
    </row>
    <row r="16" spans="1:239" ht="24" customHeight="1" thickTop="1" thickBot="1" x14ac:dyDescent="0.3">
      <c r="A16" s="561" t="s">
        <v>465</v>
      </c>
      <c r="B16" s="561" t="s">
        <v>466</v>
      </c>
      <c r="C16" s="1045">
        <v>6000</v>
      </c>
      <c r="D16" s="1046">
        <v>0</v>
      </c>
      <c r="E16" s="1046">
        <f t="shared" si="24"/>
        <v>417.39130434782606</v>
      </c>
      <c r="F16" s="1046">
        <v>0</v>
      </c>
      <c r="G16" s="1046">
        <f t="shared" si="25"/>
        <v>495.6521739130435</v>
      </c>
      <c r="H16" s="1046">
        <v>0</v>
      </c>
      <c r="I16" s="1046">
        <f t="shared" si="26"/>
        <v>600</v>
      </c>
      <c r="J16" s="1046">
        <v>0</v>
      </c>
      <c r="K16" s="1046">
        <f t="shared" si="27"/>
        <v>495.6521739130435</v>
      </c>
      <c r="L16" s="1046">
        <v>0</v>
      </c>
      <c r="M16" s="1046">
        <f t="shared" si="28"/>
        <v>547.82608695652175</v>
      </c>
      <c r="N16" s="1046">
        <v>0</v>
      </c>
      <c r="O16" s="1046">
        <f t="shared" si="29"/>
        <v>573.91304347826087</v>
      </c>
      <c r="P16" s="1046">
        <v>0</v>
      </c>
      <c r="Q16" s="1046">
        <f t="shared" si="30"/>
        <v>547.82608695652175</v>
      </c>
      <c r="R16" s="1046">
        <v>0</v>
      </c>
      <c r="S16" s="1046">
        <f t="shared" si="31"/>
        <v>313.04347826086956</v>
      </c>
      <c r="T16" s="1046">
        <v>0</v>
      </c>
      <c r="U16" s="1046">
        <f t="shared" si="32"/>
        <v>573.91304347826087</v>
      </c>
      <c r="V16" s="1046">
        <v>0</v>
      </c>
      <c r="W16" s="1046">
        <f t="shared" si="33"/>
        <v>521.73913043478262</v>
      </c>
      <c r="X16" s="1046">
        <v>0</v>
      </c>
      <c r="Y16" s="1046">
        <f t="shared" si="34"/>
        <v>547.82608695652175</v>
      </c>
      <c r="Z16" s="1046">
        <v>0</v>
      </c>
      <c r="AA16" s="1046">
        <f t="shared" si="35"/>
        <v>365.21739130434781</v>
      </c>
      <c r="AB16" s="1046">
        <v>0</v>
      </c>
    </row>
    <row r="17" spans="1:28" ht="24" customHeight="1" thickTop="1" thickBot="1" x14ac:dyDescent="0.3">
      <c r="A17" s="561" t="s">
        <v>467</v>
      </c>
      <c r="B17" s="561" t="s">
        <v>468</v>
      </c>
      <c r="C17" s="1045">
        <v>50000</v>
      </c>
      <c r="D17" s="1046">
        <v>0</v>
      </c>
      <c r="E17" s="1046">
        <f t="shared" si="24"/>
        <v>3478.2608695652175</v>
      </c>
      <c r="F17" s="1046">
        <v>0</v>
      </c>
      <c r="G17" s="1046">
        <f t="shared" si="25"/>
        <v>4130.434782608696</v>
      </c>
      <c r="H17" s="1046">
        <v>0</v>
      </c>
      <c r="I17" s="1046">
        <f t="shared" si="26"/>
        <v>5000</v>
      </c>
      <c r="J17" s="1046">
        <v>0</v>
      </c>
      <c r="K17" s="1046">
        <f t="shared" si="27"/>
        <v>4130.434782608696</v>
      </c>
      <c r="L17" s="1046">
        <v>0</v>
      </c>
      <c r="M17" s="1046">
        <f t="shared" si="28"/>
        <v>4565.217391304348</v>
      </c>
      <c r="N17" s="1046">
        <v>0</v>
      </c>
      <c r="O17" s="1046">
        <f t="shared" si="29"/>
        <v>4782.608695652174</v>
      </c>
      <c r="P17" s="1046">
        <v>0</v>
      </c>
      <c r="Q17" s="1046">
        <f t="shared" si="30"/>
        <v>4565.217391304348</v>
      </c>
      <c r="R17" s="1046">
        <v>0</v>
      </c>
      <c r="S17" s="1046">
        <f t="shared" si="31"/>
        <v>2608.695652173913</v>
      </c>
      <c r="T17" s="1046">
        <v>0</v>
      </c>
      <c r="U17" s="1046">
        <f t="shared" si="32"/>
        <v>4782.608695652174</v>
      </c>
      <c r="V17" s="1046">
        <v>0</v>
      </c>
      <c r="W17" s="1046">
        <f t="shared" si="33"/>
        <v>4347.826086956522</v>
      </c>
      <c r="X17" s="1046">
        <v>0</v>
      </c>
      <c r="Y17" s="1046">
        <f t="shared" si="34"/>
        <v>4565.217391304348</v>
      </c>
      <c r="Z17" s="1046">
        <v>0</v>
      </c>
      <c r="AA17" s="1046">
        <f t="shared" si="35"/>
        <v>3043.478260869565</v>
      </c>
      <c r="AB17" s="1046">
        <v>0</v>
      </c>
    </row>
    <row r="18" spans="1:28" ht="24" customHeight="1" thickTop="1" thickBot="1" x14ac:dyDescent="0.3">
      <c r="A18" s="561" t="s">
        <v>469</v>
      </c>
      <c r="B18" s="561" t="s">
        <v>470</v>
      </c>
      <c r="C18" s="1045">
        <v>15000</v>
      </c>
      <c r="D18" s="1046">
        <v>0</v>
      </c>
      <c r="E18" s="1046">
        <f t="shared" si="24"/>
        <v>1043.4782608695652</v>
      </c>
      <c r="F18" s="1046">
        <v>0</v>
      </c>
      <c r="G18" s="1046">
        <f t="shared" si="25"/>
        <v>1239.1304347826087</v>
      </c>
      <c r="H18" s="1046">
        <v>0</v>
      </c>
      <c r="I18" s="1046">
        <f t="shared" si="26"/>
        <v>1500</v>
      </c>
      <c r="J18" s="1046">
        <v>0</v>
      </c>
      <c r="K18" s="1046">
        <f t="shared" si="27"/>
        <v>1239.1304347826087</v>
      </c>
      <c r="L18" s="1046">
        <v>0</v>
      </c>
      <c r="M18" s="1046">
        <f t="shared" si="28"/>
        <v>1369.5652173913043</v>
      </c>
      <c r="N18" s="1046">
        <v>0</v>
      </c>
      <c r="O18" s="1046">
        <f t="shared" si="29"/>
        <v>1434.7826086956522</v>
      </c>
      <c r="P18" s="1046">
        <v>0</v>
      </c>
      <c r="Q18" s="1046">
        <f t="shared" si="30"/>
        <v>1369.5652173913043</v>
      </c>
      <c r="R18" s="1046">
        <v>0</v>
      </c>
      <c r="S18" s="1046">
        <f t="shared" si="31"/>
        <v>782.60869565217388</v>
      </c>
      <c r="T18" s="1046">
        <v>0</v>
      </c>
      <c r="U18" s="1046">
        <f t="shared" si="32"/>
        <v>1434.7826086956522</v>
      </c>
      <c r="V18" s="1046">
        <v>0</v>
      </c>
      <c r="W18" s="1046">
        <f t="shared" si="33"/>
        <v>1304.3478260869565</v>
      </c>
      <c r="X18" s="1046">
        <v>0</v>
      </c>
      <c r="Y18" s="1046">
        <f t="shared" si="34"/>
        <v>1369.5652173913043</v>
      </c>
      <c r="Z18" s="1046">
        <v>0</v>
      </c>
      <c r="AA18" s="1046">
        <f t="shared" si="35"/>
        <v>913.04347826086962</v>
      </c>
      <c r="AB18" s="1046">
        <v>0</v>
      </c>
    </row>
    <row r="19" spans="1:28" ht="24" customHeight="1" thickTop="1" thickBot="1" x14ac:dyDescent="0.3">
      <c r="A19" s="561" t="s">
        <v>471</v>
      </c>
      <c r="B19" s="561" t="s">
        <v>472</v>
      </c>
      <c r="C19" s="1045">
        <v>1500</v>
      </c>
      <c r="D19" s="1046">
        <v>0</v>
      </c>
      <c r="E19" s="1046">
        <f t="shared" si="24"/>
        <v>104.34782608695652</v>
      </c>
      <c r="F19" s="1046">
        <v>0</v>
      </c>
      <c r="G19" s="1046">
        <f t="shared" si="25"/>
        <v>123.91304347826087</v>
      </c>
      <c r="H19" s="1046">
        <v>0</v>
      </c>
      <c r="I19" s="1046">
        <f t="shared" si="26"/>
        <v>150</v>
      </c>
      <c r="J19" s="1046">
        <v>0</v>
      </c>
      <c r="K19" s="1046">
        <f t="shared" si="27"/>
        <v>123.91304347826087</v>
      </c>
      <c r="L19" s="1046">
        <v>0</v>
      </c>
      <c r="M19" s="1046">
        <f t="shared" si="28"/>
        <v>136.95652173913044</v>
      </c>
      <c r="N19" s="1046">
        <v>0</v>
      </c>
      <c r="O19" s="1046">
        <f t="shared" si="29"/>
        <v>143.47826086956522</v>
      </c>
      <c r="P19" s="1046">
        <v>0</v>
      </c>
      <c r="Q19" s="1046">
        <f t="shared" si="30"/>
        <v>136.95652173913044</v>
      </c>
      <c r="R19" s="1046">
        <v>0</v>
      </c>
      <c r="S19" s="1046">
        <f t="shared" si="31"/>
        <v>78.260869565217391</v>
      </c>
      <c r="T19" s="1046">
        <v>0</v>
      </c>
      <c r="U19" s="1046">
        <f t="shared" si="32"/>
        <v>143.47826086956522</v>
      </c>
      <c r="V19" s="1046">
        <v>0</v>
      </c>
      <c r="W19" s="1046">
        <f t="shared" si="33"/>
        <v>130.43478260869566</v>
      </c>
      <c r="X19" s="1046">
        <v>0</v>
      </c>
      <c r="Y19" s="1046">
        <f t="shared" si="34"/>
        <v>136.95652173913044</v>
      </c>
      <c r="Z19" s="1046">
        <v>0</v>
      </c>
      <c r="AA19" s="1046">
        <f t="shared" si="35"/>
        <v>91.304347826086953</v>
      </c>
      <c r="AB19" s="1046">
        <v>0</v>
      </c>
    </row>
    <row r="20" spans="1:28" ht="24" customHeight="1" thickTop="1" thickBot="1" x14ac:dyDescent="0.3">
      <c r="A20" s="561" t="s">
        <v>473</v>
      </c>
      <c r="B20" s="561" t="s">
        <v>474</v>
      </c>
      <c r="C20" s="1045">
        <v>3000</v>
      </c>
      <c r="D20" s="1046">
        <v>0</v>
      </c>
      <c r="E20" s="1046">
        <f t="shared" si="24"/>
        <v>208.69565217391303</v>
      </c>
      <c r="F20" s="1046">
        <v>0</v>
      </c>
      <c r="G20" s="1046">
        <f t="shared" si="25"/>
        <v>247.82608695652175</v>
      </c>
      <c r="H20" s="1046">
        <v>0</v>
      </c>
      <c r="I20" s="1046">
        <f t="shared" si="26"/>
        <v>300</v>
      </c>
      <c r="J20" s="1046">
        <v>0</v>
      </c>
      <c r="K20" s="1046">
        <f t="shared" si="27"/>
        <v>247.82608695652175</v>
      </c>
      <c r="L20" s="1046">
        <v>0</v>
      </c>
      <c r="M20" s="1046">
        <f t="shared" si="28"/>
        <v>273.91304347826087</v>
      </c>
      <c r="N20" s="1046">
        <v>0</v>
      </c>
      <c r="O20" s="1046">
        <f t="shared" si="29"/>
        <v>286.95652173913044</v>
      </c>
      <c r="P20" s="1046">
        <v>0</v>
      </c>
      <c r="Q20" s="1046">
        <f t="shared" si="30"/>
        <v>273.91304347826087</v>
      </c>
      <c r="R20" s="1046">
        <v>0</v>
      </c>
      <c r="S20" s="1046">
        <f t="shared" si="31"/>
        <v>156.52173913043478</v>
      </c>
      <c r="T20" s="1046">
        <v>0</v>
      </c>
      <c r="U20" s="1046">
        <f t="shared" si="32"/>
        <v>286.95652173913044</v>
      </c>
      <c r="V20" s="1046">
        <v>0</v>
      </c>
      <c r="W20" s="1046">
        <f t="shared" si="33"/>
        <v>260.86956521739131</v>
      </c>
      <c r="X20" s="1046">
        <v>0</v>
      </c>
      <c r="Y20" s="1046">
        <f t="shared" si="34"/>
        <v>273.91304347826087</v>
      </c>
      <c r="Z20" s="1046">
        <v>0</v>
      </c>
      <c r="AA20" s="1046">
        <f t="shared" si="35"/>
        <v>182.60869565217391</v>
      </c>
      <c r="AB20" s="1046">
        <v>0</v>
      </c>
    </row>
    <row r="21" spans="1:28" ht="24" customHeight="1" thickTop="1" thickBot="1" x14ac:dyDescent="0.3">
      <c r="A21" s="1047">
        <v>622400</v>
      </c>
      <c r="B21" s="561" t="s">
        <v>735</v>
      </c>
      <c r="C21" s="1045">
        <v>3000</v>
      </c>
      <c r="D21" s="1046">
        <v>0</v>
      </c>
      <c r="E21" s="1046">
        <f t="shared" si="24"/>
        <v>208.69565217391303</v>
      </c>
      <c r="F21" s="1046">
        <v>0</v>
      </c>
      <c r="G21" s="1046">
        <f t="shared" si="25"/>
        <v>247.82608695652175</v>
      </c>
      <c r="H21" s="1046">
        <v>0</v>
      </c>
      <c r="I21" s="1046">
        <f t="shared" si="26"/>
        <v>300</v>
      </c>
      <c r="J21" s="1046">
        <v>0</v>
      </c>
      <c r="K21" s="1046">
        <f t="shared" si="27"/>
        <v>247.82608695652175</v>
      </c>
      <c r="L21" s="1046">
        <v>0</v>
      </c>
      <c r="M21" s="1046">
        <f t="shared" si="28"/>
        <v>273.91304347826087</v>
      </c>
      <c r="N21" s="1046">
        <v>0</v>
      </c>
      <c r="O21" s="1046">
        <f t="shared" si="29"/>
        <v>286.95652173913044</v>
      </c>
      <c r="P21" s="1046">
        <v>0</v>
      </c>
      <c r="Q21" s="1046">
        <f t="shared" si="30"/>
        <v>273.91304347826087</v>
      </c>
      <c r="R21" s="1046">
        <v>0</v>
      </c>
      <c r="S21" s="1046">
        <f t="shared" si="31"/>
        <v>156.52173913043478</v>
      </c>
      <c r="T21" s="1046">
        <v>0</v>
      </c>
      <c r="U21" s="1046">
        <f t="shared" si="32"/>
        <v>286.95652173913044</v>
      </c>
      <c r="V21" s="1046">
        <v>0</v>
      </c>
      <c r="W21" s="1046">
        <f t="shared" si="33"/>
        <v>260.86956521739131</v>
      </c>
      <c r="X21" s="1046">
        <v>0</v>
      </c>
      <c r="Y21" s="1046">
        <f t="shared" si="34"/>
        <v>273.91304347826087</v>
      </c>
      <c r="Z21" s="1046">
        <v>0</v>
      </c>
      <c r="AA21" s="1046">
        <f t="shared" si="35"/>
        <v>182.60869565217391</v>
      </c>
      <c r="AB21" s="1046">
        <v>0</v>
      </c>
    </row>
    <row r="22" spans="1:28" ht="24" customHeight="1" thickTop="1" thickBot="1" x14ac:dyDescent="0.3">
      <c r="A22" s="561" t="s">
        <v>475</v>
      </c>
      <c r="B22" s="561" t="s">
        <v>476</v>
      </c>
      <c r="C22" s="1045">
        <v>1000</v>
      </c>
      <c r="D22" s="1046">
        <v>0</v>
      </c>
      <c r="E22" s="1046">
        <f t="shared" si="24"/>
        <v>69.565217391304344</v>
      </c>
      <c r="F22" s="1046">
        <v>0</v>
      </c>
      <c r="G22" s="1046">
        <f t="shared" si="25"/>
        <v>82.608695652173907</v>
      </c>
      <c r="H22" s="1046">
        <v>0</v>
      </c>
      <c r="I22" s="1046">
        <f t="shared" si="26"/>
        <v>100</v>
      </c>
      <c r="J22" s="1046">
        <v>0</v>
      </c>
      <c r="K22" s="1046">
        <f t="shared" si="27"/>
        <v>82.608695652173907</v>
      </c>
      <c r="L22" s="1046">
        <v>0</v>
      </c>
      <c r="M22" s="1046">
        <f t="shared" si="28"/>
        <v>91.304347826086953</v>
      </c>
      <c r="N22" s="1046">
        <v>0</v>
      </c>
      <c r="O22" s="1046">
        <f t="shared" si="29"/>
        <v>95.652173913043484</v>
      </c>
      <c r="P22" s="1046">
        <v>0</v>
      </c>
      <c r="Q22" s="1046">
        <f t="shared" si="30"/>
        <v>91.304347826086953</v>
      </c>
      <c r="R22" s="1046">
        <v>0</v>
      </c>
      <c r="S22" s="1046">
        <f t="shared" si="31"/>
        <v>52.173913043478258</v>
      </c>
      <c r="T22" s="1046">
        <v>0</v>
      </c>
      <c r="U22" s="1046">
        <f t="shared" si="32"/>
        <v>95.652173913043484</v>
      </c>
      <c r="V22" s="1046">
        <v>0</v>
      </c>
      <c r="W22" s="1046">
        <f t="shared" si="33"/>
        <v>86.956521739130437</v>
      </c>
      <c r="X22" s="1046">
        <v>0</v>
      </c>
      <c r="Y22" s="1046">
        <f t="shared" si="34"/>
        <v>91.304347826086953</v>
      </c>
      <c r="Z22" s="1046">
        <v>0</v>
      </c>
      <c r="AA22" s="1046">
        <f t="shared" si="35"/>
        <v>60.869565217391305</v>
      </c>
      <c r="AB22" s="1046">
        <v>0</v>
      </c>
    </row>
    <row r="23" spans="1:28" ht="24" customHeight="1" thickTop="1" thickBot="1" x14ac:dyDescent="0.3">
      <c r="A23" s="561" t="s">
        <v>477</v>
      </c>
      <c r="B23" s="561" t="s">
        <v>478</v>
      </c>
      <c r="C23" s="1045">
        <v>8000</v>
      </c>
      <c r="D23" s="1046">
        <v>0</v>
      </c>
      <c r="E23" s="1046">
        <f t="shared" si="24"/>
        <v>556.52173913043475</v>
      </c>
      <c r="F23" s="1046">
        <v>0</v>
      </c>
      <c r="G23" s="1046">
        <f t="shared" si="25"/>
        <v>660.86956521739125</v>
      </c>
      <c r="H23" s="1046">
        <v>0</v>
      </c>
      <c r="I23" s="1046">
        <f t="shared" si="26"/>
        <v>800</v>
      </c>
      <c r="J23" s="1046">
        <v>0</v>
      </c>
      <c r="K23" s="1046">
        <f t="shared" si="27"/>
        <v>660.86956521739125</v>
      </c>
      <c r="L23" s="1046">
        <v>0</v>
      </c>
      <c r="M23" s="1046">
        <f t="shared" si="28"/>
        <v>730.43478260869563</v>
      </c>
      <c r="N23" s="1046">
        <v>0</v>
      </c>
      <c r="O23" s="1046">
        <f t="shared" si="29"/>
        <v>765.21739130434787</v>
      </c>
      <c r="P23" s="1046">
        <v>0</v>
      </c>
      <c r="Q23" s="1046">
        <f t="shared" si="30"/>
        <v>730.43478260869563</v>
      </c>
      <c r="R23" s="1046">
        <v>0</v>
      </c>
      <c r="S23" s="1046">
        <f t="shared" si="31"/>
        <v>417.39130434782606</v>
      </c>
      <c r="T23" s="1046">
        <v>0</v>
      </c>
      <c r="U23" s="1046">
        <f t="shared" si="32"/>
        <v>765.21739130434787</v>
      </c>
      <c r="V23" s="1046">
        <v>0</v>
      </c>
      <c r="W23" s="1046">
        <f t="shared" si="33"/>
        <v>695.6521739130435</v>
      </c>
      <c r="X23" s="1046">
        <v>0</v>
      </c>
      <c r="Y23" s="1046">
        <f t="shared" si="34"/>
        <v>730.43478260869563</v>
      </c>
      <c r="Z23" s="1046">
        <v>0</v>
      </c>
      <c r="AA23" s="1046">
        <f t="shared" si="35"/>
        <v>486.95652173913044</v>
      </c>
      <c r="AB23" s="1046">
        <v>0</v>
      </c>
    </row>
    <row r="24" spans="1:28" ht="24" customHeight="1" thickTop="1" thickBot="1" x14ac:dyDescent="0.3">
      <c r="A24" s="561" t="s">
        <v>479</v>
      </c>
      <c r="B24" s="1048" t="s">
        <v>480</v>
      </c>
      <c r="C24" s="1045">
        <v>500</v>
      </c>
      <c r="D24" s="1046">
        <v>0</v>
      </c>
      <c r="E24" s="1046">
        <f t="shared" si="24"/>
        <v>34.782608695652172</v>
      </c>
      <c r="F24" s="1046">
        <v>0</v>
      </c>
      <c r="G24" s="1046">
        <f t="shared" si="25"/>
        <v>41.304347826086953</v>
      </c>
      <c r="H24" s="1046">
        <v>0</v>
      </c>
      <c r="I24" s="1046">
        <f t="shared" si="26"/>
        <v>50</v>
      </c>
      <c r="J24" s="1046">
        <v>0</v>
      </c>
      <c r="K24" s="1046">
        <f t="shared" si="27"/>
        <v>41.304347826086953</v>
      </c>
      <c r="L24" s="1046">
        <v>0</v>
      </c>
      <c r="M24" s="1046">
        <f t="shared" si="28"/>
        <v>45.652173913043477</v>
      </c>
      <c r="N24" s="1046">
        <v>0</v>
      </c>
      <c r="O24" s="1046">
        <f t="shared" si="29"/>
        <v>47.826086956521742</v>
      </c>
      <c r="P24" s="1046">
        <v>0</v>
      </c>
      <c r="Q24" s="1046">
        <f t="shared" si="30"/>
        <v>45.652173913043477</v>
      </c>
      <c r="R24" s="1046">
        <v>0</v>
      </c>
      <c r="S24" s="1046">
        <f t="shared" si="31"/>
        <v>26.086956521739129</v>
      </c>
      <c r="T24" s="1046">
        <v>0</v>
      </c>
      <c r="U24" s="1046">
        <f t="shared" si="32"/>
        <v>47.826086956521742</v>
      </c>
      <c r="V24" s="1046">
        <v>0</v>
      </c>
      <c r="W24" s="1046">
        <f t="shared" si="33"/>
        <v>43.478260869565219</v>
      </c>
      <c r="X24" s="1046">
        <v>0</v>
      </c>
      <c r="Y24" s="1046">
        <f t="shared" si="34"/>
        <v>45.652173913043477</v>
      </c>
      <c r="Z24" s="1046">
        <v>0</v>
      </c>
      <c r="AA24" s="1046">
        <f t="shared" si="35"/>
        <v>30.434782608695652</v>
      </c>
      <c r="AB24" s="1046">
        <v>0</v>
      </c>
    </row>
    <row r="25" spans="1:28" ht="24" customHeight="1" thickTop="1" thickBot="1" x14ac:dyDescent="0.3">
      <c r="A25" s="561" t="s">
        <v>481</v>
      </c>
      <c r="B25" s="561" t="s">
        <v>482</v>
      </c>
      <c r="C25" s="1045">
        <v>800</v>
      </c>
      <c r="D25" s="1046">
        <v>0</v>
      </c>
      <c r="E25" s="1046">
        <f t="shared" si="24"/>
        <v>55.652173913043477</v>
      </c>
      <c r="F25" s="1046">
        <v>0</v>
      </c>
      <c r="G25" s="1046">
        <f t="shared" si="25"/>
        <v>66.086956521739125</v>
      </c>
      <c r="H25" s="1046">
        <v>0</v>
      </c>
      <c r="I25" s="1046">
        <f t="shared" si="26"/>
        <v>80</v>
      </c>
      <c r="J25" s="1046">
        <v>0</v>
      </c>
      <c r="K25" s="1046">
        <f t="shared" si="27"/>
        <v>66.086956521739125</v>
      </c>
      <c r="L25" s="1046">
        <v>0</v>
      </c>
      <c r="M25" s="1046">
        <f t="shared" si="28"/>
        <v>73.043478260869563</v>
      </c>
      <c r="N25" s="1046">
        <v>0</v>
      </c>
      <c r="O25" s="1046">
        <f t="shared" si="29"/>
        <v>76.521739130434781</v>
      </c>
      <c r="P25" s="1046">
        <v>0</v>
      </c>
      <c r="Q25" s="1046">
        <f t="shared" si="30"/>
        <v>73.043478260869563</v>
      </c>
      <c r="R25" s="1046">
        <v>0</v>
      </c>
      <c r="S25" s="1046">
        <f t="shared" si="31"/>
        <v>41.739130434782609</v>
      </c>
      <c r="T25" s="1046">
        <v>0</v>
      </c>
      <c r="U25" s="1046">
        <f t="shared" si="32"/>
        <v>76.521739130434781</v>
      </c>
      <c r="V25" s="1046">
        <v>0</v>
      </c>
      <c r="W25" s="1046">
        <f t="shared" si="33"/>
        <v>69.565217391304344</v>
      </c>
      <c r="X25" s="1046">
        <v>0</v>
      </c>
      <c r="Y25" s="1046">
        <f t="shared" si="34"/>
        <v>73.043478260869563</v>
      </c>
      <c r="Z25" s="1046">
        <v>0</v>
      </c>
      <c r="AA25" s="1046">
        <f t="shared" si="35"/>
        <v>48.695652173913047</v>
      </c>
      <c r="AB25" s="1046">
        <v>0</v>
      </c>
    </row>
    <row r="26" spans="1:28" ht="24" customHeight="1" thickTop="1" thickBot="1" x14ac:dyDescent="0.3">
      <c r="A26" s="561" t="s">
        <v>483</v>
      </c>
      <c r="B26" s="1048" t="s">
        <v>484</v>
      </c>
      <c r="C26" s="1045">
        <v>269.17</v>
      </c>
      <c r="D26" s="1046">
        <v>0</v>
      </c>
      <c r="E26" s="1046">
        <f>C26/12</f>
        <v>22.430833333333336</v>
      </c>
      <c r="F26" s="1046">
        <v>0</v>
      </c>
      <c r="G26" s="1046">
        <f>C26/12</f>
        <v>22.430833333333336</v>
      </c>
      <c r="H26" s="1046">
        <v>0</v>
      </c>
      <c r="I26" s="1046">
        <f>C26/12</f>
        <v>22.430833333333336</v>
      </c>
      <c r="J26" s="1046">
        <v>0</v>
      </c>
      <c r="K26" s="1046">
        <f>C26/12</f>
        <v>22.430833333333336</v>
      </c>
      <c r="L26" s="1046">
        <v>0</v>
      </c>
      <c r="M26" s="1046">
        <f>C26/12</f>
        <v>22.430833333333336</v>
      </c>
      <c r="N26" s="1046">
        <v>0</v>
      </c>
      <c r="O26" s="1046">
        <f>$C26/12</f>
        <v>22.430833333333336</v>
      </c>
      <c r="P26" s="1046">
        <v>0</v>
      </c>
      <c r="Q26" s="1046">
        <f>$C26/12</f>
        <v>22.430833333333336</v>
      </c>
      <c r="R26" s="1046">
        <v>0</v>
      </c>
      <c r="S26" s="1046">
        <f>$C26/12</f>
        <v>22.430833333333336</v>
      </c>
      <c r="T26" s="1046">
        <v>0</v>
      </c>
      <c r="U26" s="1046">
        <f>$C26/12</f>
        <v>22.430833333333336</v>
      </c>
      <c r="V26" s="1046">
        <v>0</v>
      </c>
      <c r="W26" s="1046">
        <f>$C26/12</f>
        <v>22.430833333333336</v>
      </c>
      <c r="X26" s="1046">
        <v>0</v>
      </c>
      <c r="Y26" s="1046">
        <f>$C26/12</f>
        <v>22.430833333333336</v>
      </c>
      <c r="Z26" s="1046">
        <v>0</v>
      </c>
      <c r="AA26" s="1046">
        <f>$C26/12</f>
        <v>22.430833333333336</v>
      </c>
      <c r="AB26" s="1046">
        <v>0</v>
      </c>
    </row>
    <row r="27" spans="1:28" ht="24" customHeight="1" thickTop="1" thickBot="1" x14ac:dyDescent="0.3">
      <c r="A27" s="561" t="s">
        <v>485</v>
      </c>
      <c r="B27" s="1048" t="s">
        <v>486</v>
      </c>
      <c r="C27" s="1045">
        <v>842.25</v>
      </c>
      <c r="D27" s="1046">
        <v>0</v>
      </c>
      <c r="E27" s="1046">
        <f t="shared" ref="E27:E33" si="36">C27/12</f>
        <v>70.1875</v>
      </c>
      <c r="F27" s="1046">
        <v>0</v>
      </c>
      <c r="G27" s="1046">
        <f t="shared" ref="G27:G33" si="37">C27/12</f>
        <v>70.1875</v>
      </c>
      <c r="H27" s="1046">
        <v>0</v>
      </c>
      <c r="I27" s="1046">
        <f t="shared" ref="I27:I33" si="38">C27/12</f>
        <v>70.1875</v>
      </c>
      <c r="J27" s="1046">
        <v>0</v>
      </c>
      <c r="K27" s="1046">
        <f t="shared" ref="K27:K33" si="39">C27/12</f>
        <v>70.1875</v>
      </c>
      <c r="L27" s="1046">
        <v>0</v>
      </c>
      <c r="M27" s="1046">
        <f t="shared" ref="M27:M33" si="40">C27/12</f>
        <v>70.1875</v>
      </c>
      <c r="N27" s="1046">
        <v>0</v>
      </c>
      <c r="O27" s="1046">
        <f t="shared" ref="O27:AA33" si="41">$C27/12</f>
        <v>70.1875</v>
      </c>
      <c r="P27" s="1046">
        <v>0</v>
      </c>
      <c r="Q27" s="1046">
        <f t="shared" si="41"/>
        <v>70.1875</v>
      </c>
      <c r="R27" s="1046">
        <v>0</v>
      </c>
      <c r="S27" s="1046">
        <f t="shared" si="41"/>
        <v>70.1875</v>
      </c>
      <c r="T27" s="1046">
        <v>0</v>
      </c>
      <c r="U27" s="1046">
        <f t="shared" si="41"/>
        <v>70.1875</v>
      </c>
      <c r="V27" s="1046">
        <v>0</v>
      </c>
      <c r="W27" s="1046">
        <f t="shared" si="41"/>
        <v>70.1875</v>
      </c>
      <c r="X27" s="1046">
        <v>0</v>
      </c>
      <c r="Y27" s="1046">
        <f t="shared" si="41"/>
        <v>70.1875</v>
      </c>
      <c r="Z27" s="1046">
        <v>0</v>
      </c>
      <c r="AA27" s="1046">
        <f t="shared" si="41"/>
        <v>70.1875</v>
      </c>
      <c r="AB27" s="1046">
        <v>0</v>
      </c>
    </row>
    <row r="28" spans="1:28" ht="24" customHeight="1" thickTop="1" thickBot="1" x14ac:dyDescent="0.3">
      <c r="A28" s="561" t="s">
        <v>487</v>
      </c>
      <c r="B28" s="1048" t="s">
        <v>488</v>
      </c>
      <c r="C28" s="1045">
        <v>387.41</v>
      </c>
      <c r="D28" s="1046">
        <v>0</v>
      </c>
      <c r="E28" s="1046">
        <f t="shared" si="36"/>
        <v>32.284166666666671</v>
      </c>
      <c r="F28" s="1046">
        <v>0</v>
      </c>
      <c r="G28" s="1046">
        <f t="shared" si="37"/>
        <v>32.284166666666671</v>
      </c>
      <c r="H28" s="1046">
        <v>0</v>
      </c>
      <c r="I28" s="1046">
        <f t="shared" si="38"/>
        <v>32.284166666666671</v>
      </c>
      <c r="J28" s="1046">
        <v>0</v>
      </c>
      <c r="K28" s="1046">
        <f t="shared" si="39"/>
        <v>32.284166666666671</v>
      </c>
      <c r="L28" s="1046">
        <v>0</v>
      </c>
      <c r="M28" s="1046">
        <f t="shared" si="40"/>
        <v>32.284166666666671</v>
      </c>
      <c r="N28" s="1046">
        <v>0</v>
      </c>
      <c r="O28" s="1046">
        <f t="shared" si="41"/>
        <v>32.284166666666671</v>
      </c>
      <c r="P28" s="1046">
        <v>0</v>
      </c>
      <c r="Q28" s="1046">
        <f t="shared" si="41"/>
        <v>32.284166666666671</v>
      </c>
      <c r="R28" s="1046">
        <v>0</v>
      </c>
      <c r="S28" s="1046">
        <f t="shared" si="41"/>
        <v>32.284166666666671</v>
      </c>
      <c r="T28" s="1046">
        <v>0</v>
      </c>
      <c r="U28" s="1046">
        <f t="shared" si="41"/>
        <v>32.284166666666671</v>
      </c>
      <c r="V28" s="1046">
        <v>0</v>
      </c>
      <c r="W28" s="1046">
        <f t="shared" si="41"/>
        <v>32.284166666666671</v>
      </c>
      <c r="X28" s="1046">
        <v>0</v>
      </c>
      <c r="Y28" s="1046">
        <f t="shared" si="41"/>
        <v>32.284166666666671</v>
      </c>
      <c r="Z28" s="1046">
        <v>0</v>
      </c>
      <c r="AA28" s="1046">
        <f t="shared" si="41"/>
        <v>32.284166666666671</v>
      </c>
      <c r="AB28" s="1046">
        <v>0</v>
      </c>
    </row>
    <row r="29" spans="1:28" ht="24" customHeight="1" thickTop="1" thickBot="1" x14ac:dyDescent="0.3">
      <c r="A29" s="561" t="s">
        <v>489</v>
      </c>
      <c r="B29" s="1048" t="s">
        <v>490</v>
      </c>
      <c r="C29" s="1045">
        <v>1126.8900000000001</v>
      </c>
      <c r="D29" s="1046">
        <v>0</v>
      </c>
      <c r="E29" s="1046">
        <f t="shared" si="36"/>
        <v>93.907500000000013</v>
      </c>
      <c r="F29" s="1046">
        <v>0</v>
      </c>
      <c r="G29" s="1046">
        <f t="shared" si="37"/>
        <v>93.907500000000013</v>
      </c>
      <c r="H29" s="1046">
        <v>0</v>
      </c>
      <c r="I29" s="1046">
        <f t="shared" si="38"/>
        <v>93.907500000000013</v>
      </c>
      <c r="J29" s="1046">
        <v>0</v>
      </c>
      <c r="K29" s="1046">
        <f t="shared" si="39"/>
        <v>93.907500000000013</v>
      </c>
      <c r="L29" s="1046">
        <v>0</v>
      </c>
      <c r="M29" s="1046">
        <f t="shared" si="40"/>
        <v>93.907500000000013</v>
      </c>
      <c r="N29" s="1046">
        <v>0</v>
      </c>
      <c r="O29" s="1046">
        <f t="shared" si="41"/>
        <v>93.907500000000013</v>
      </c>
      <c r="P29" s="1046">
        <v>0</v>
      </c>
      <c r="Q29" s="1046">
        <f t="shared" si="41"/>
        <v>93.907500000000013</v>
      </c>
      <c r="R29" s="1046">
        <v>0</v>
      </c>
      <c r="S29" s="1046">
        <f t="shared" si="41"/>
        <v>93.907500000000013</v>
      </c>
      <c r="T29" s="1046">
        <v>0</v>
      </c>
      <c r="U29" s="1046">
        <f t="shared" si="41"/>
        <v>93.907500000000013</v>
      </c>
      <c r="V29" s="1046">
        <v>0</v>
      </c>
      <c r="W29" s="1046">
        <f t="shared" si="41"/>
        <v>93.907500000000013</v>
      </c>
      <c r="X29" s="1046">
        <v>0</v>
      </c>
      <c r="Y29" s="1046">
        <f t="shared" si="41"/>
        <v>93.907500000000013</v>
      </c>
      <c r="Z29" s="1046">
        <v>0</v>
      </c>
      <c r="AA29" s="1046">
        <f t="shared" si="41"/>
        <v>93.907500000000013</v>
      </c>
      <c r="AB29" s="1046">
        <v>0</v>
      </c>
    </row>
    <row r="30" spans="1:28" ht="24" customHeight="1" thickTop="1" thickBot="1" x14ac:dyDescent="0.3">
      <c r="A30" s="561" t="s">
        <v>491</v>
      </c>
      <c r="B30" s="1048" t="s">
        <v>492</v>
      </c>
      <c r="C30" s="1045">
        <v>124.14</v>
      </c>
      <c r="D30" s="1046">
        <v>0</v>
      </c>
      <c r="E30" s="1046">
        <f t="shared" si="36"/>
        <v>10.345000000000001</v>
      </c>
      <c r="F30" s="1046">
        <v>0</v>
      </c>
      <c r="G30" s="1046">
        <f t="shared" si="37"/>
        <v>10.345000000000001</v>
      </c>
      <c r="H30" s="1046">
        <v>0</v>
      </c>
      <c r="I30" s="1046">
        <f t="shared" si="38"/>
        <v>10.345000000000001</v>
      </c>
      <c r="J30" s="1046">
        <v>0</v>
      </c>
      <c r="K30" s="1046">
        <f t="shared" si="39"/>
        <v>10.345000000000001</v>
      </c>
      <c r="L30" s="1046">
        <v>0</v>
      </c>
      <c r="M30" s="1046">
        <f t="shared" si="40"/>
        <v>10.345000000000001</v>
      </c>
      <c r="N30" s="1046">
        <v>0</v>
      </c>
      <c r="O30" s="1046">
        <f t="shared" si="41"/>
        <v>10.345000000000001</v>
      </c>
      <c r="P30" s="1046">
        <v>0</v>
      </c>
      <c r="Q30" s="1046">
        <f t="shared" si="41"/>
        <v>10.345000000000001</v>
      </c>
      <c r="R30" s="1046">
        <v>0</v>
      </c>
      <c r="S30" s="1046">
        <f t="shared" si="41"/>
        <v>10.345000000000001</v>
      </c>
      <c r="T30" s="1046">
        <v>0</v>
      </c>
      <c r="U30" s="1046">
        <f t="shared" si="41"/>
        <v>10.345000000000001</v>
      </c>
      <c r="V30" s="1046">
        <v>0</v>
      </c>
      <c r="W30" s="1046">
        <f t="shared" si="41"/>
        <v>10.345000000000001</v>
      </c>
      <c r="X30" s="1046">
        <v>0</v>
      </c>
      <c r="Y30" s="1046">
        <f t="shared" si="41"/>
        <v>10.345000000000001</v>
      </c>
      <c r="Z30" s="1046">
        <v>0</v>
      </c>
      <c r="AA30" s="1046">
        <f t="shared" si="41"/>
        <v>10.345000000000001</v>
      </c>
      <c r="AB30" s="1046">
        <v>0</v>
      </c>
    </row>
    <row r="31" spans="1:28" ht="24" customHeight="1" thickTop="1" thickBot="1" x14ac:dyDescent="0.3">
      <c r="A31" s="561" t="s">
        <v>493</v>
      </c>
      <c r="B31" s="1048" t="s">
        <v>494</v>
      </c>
      <c r="C31" s="1045">
        <v>644.70000000000005</v>
      </c>
      <c r="D31" s="1046">
        <v>0</v>
      </c>
      <c r="E31" s="1046">
        <f t="shared" si="36"/>
        <v>53.725000000000001</v>
      </c>
      <c r="F31" s="1046">
        <v>0</v>
      </c>
      <c r="G31" s="1046">
        <f t="shared" si="37"/>
        <v>53.725000000000001</v>
      </c>
      <c r="H31" s="1046">
        <v>0</v>
      </c>
      <c r="I31" s="1046">
        <f t="shared" si="38"/>
        <v>53.725000000000001</v>
      </c>
      <c r="J31" s="1046">
        <v>0</v>
      </c>
      <c r="K31" s="1046">
        <f t="shared" si="39"/>
        <v>53.725000000000001</v>
      </c>
      <c r="L31" s="1046">
        <v>0</v>
      </c>
      <c r="M31" s="1046">
        <f t="shared" si="40"/>
        <v>53.725000000000001</v>
      </c>
      <c r="N31" s="1046">
        <v>0</v>
      </c>
      <c r="O31" s="1046">
        <f t="shared" si="41"/>
        <v>53.725000000000001</v>
      </c>
      <c r="P31" s="1046">
        <v>0</v>
      </c>
      <c r="Q31" s="1046">
        <f t="shared" si="41"/>
        <v>53.725000000000001</v>
      </c>
      <c r="R31" s="1046">
        <v>0</v>
      </c>
      <c r="S31" s="1046">
        <f t="shared" si="41"/>
        <v>53.725000000000001</v>
      </c>
      <c r="T31" s="1046">
        <v>0</v>
      </c>
      <c r="U31" s="1046">
        <f t="shared" si="41"/>
        <v>53.725000000000001</v>
      </c>
      <c r="V31" s="1046">
        <v>0</v>
      </c>
      <c r="W31" s="1046">
        <f t="shared" si="41"/>
        <v>53.725000000000001</v>
      </c>
      <c r="X31" s="1046">
        <v>0</v>
      </c>
      <c r="Y31" s="1046">
        <f t="shared" si="41"/>
        <v>53.725000000000001</v>
      </c>
      <c r="Z31" s="1046">
        <v>0</v>
      </c>
      <c r="AA31" s="1046">
        <f t="shared" si="41"/>
        <v>53.725000000000001</v>
      </c>
      <c r="AB31" s="1046">
        <v>0</v>
      </c>
    </row>
    <row r="32" spans="1:28" ht="24" customHeight="1" thickTop="1" thickBot="1" x14ac:dyDescent="0.3">
      <c r="A32" s="561" t="s">
        <v>495</v>
      </c>
      <c r="B32" s="1048" t="s">
        <v>496</v>
      </c>
      <c r="C32" s="1045">
        <v>6063.38</v>
      </c>
      <c r="D32" s="1046">
        <v>0</v>
      </c>
      <c r="E32" s="1046">
        <f t="shared" si="36"/>
        <v>505.28166666666669</v>
      </c>
      <c r="F32" s="1046">
        <v>0</v>
      </c>
      <c r="G32" s="1046">
        <f t="shared" si="37"/>
        <v>505.28166666666669</v>
      </c>
      <c r="H32" s="1046">
        <v>0</v>
      </c>
      <c r="I32" s="1046">
        <f t="shared" si="38"/>
        <v>505.28166666666669</v>
      </c>
      <c r="J32" s="1046">
        <v>0</v>
      </c>
      <c r="K32" s="1046">
        <f t="shared" si="39"/>
        <v>505.28166666666669</v>
      </c>
      <c r="L32" s="1046">
        <v>0</v>
      </c>
      <c r="M32" s="1046">
        <f t="shared" si="40"/>
        <v>505.28166666666669</v>
      </c>
      <c r="N32" s="1046">
        <v>0</v>
      </c>
      <c r="O32" s="1046">
        <f t="shared" si="41"/>
        <v>505.28166666666669</v>
      </c>
      <c r="P32" s="1046">
        <v>0</v>
      </c>
      <c r="Q32" s="1046">
        <f t="shared" si="41"/>
        <v>505.28166666666669</v>
      </c>
      <c r="R32" s="1046">
        <v>0</v>
      </c>
      <c r="S32" s="1046">
        <f t="shared" si="41"/>
        <v>505.28166666666669</v>
      </c>
      <c r="T32" s="1046">
        <v>0</v>
      </c>
      <c r="U32" s="1046">
        <f t="shared" si="41"/>
        <v>505.28166666666669</v>
      </c>
      <c r="V32" s="1046">
        <v>0</v>
      </c>
      <c r="W32" s="1046">
        <f t="shared" si="41"/>
        <v>505.28166666666669</v>
      </c>
      <c r="X32" s="1046">
        <v>0</v>
      </c>
      <c r="Y32" s="1046">
        <f t="shared" si="41"/>
        <v>505.28166666666669</v>
      </c>
      <c r="Z32" s="1046">
        <v>0</v>
      </c>
      <c r="AA32" s="1046">
        <f t="shared" si="41"/>
        <v>505.28166666666669</v>
      </c>
      <c r="AB32" s="1046">
        <v>0</v>
      </c>
    </row>
    <row r="33" spans="1:28" ht="24" customHeight="1" thickTop="1" thickBot="1" x14ac:dyDescent="0.3">
      <c r="A33" s="561" t="s">
        <v>497</v>
      </c>
      <c r="B33" s="1048" t="s">
        <v>498</v>
      </c>
      <c r="C33" s="1045">
        <v>578.27</v>
      </c>
      <c r="D33" s="1046">
        <v>0</v>
      </c>
      <c r="E33" s="1046">
        <f t="shared" si="36"/>
        <v>48.189166666666665</v>
      </c>
      <c r="F33" s="1046">
        <v>0</v>
      </c>
      <c r="G33" s="1046">
        <f t="shared" si="37"/>
        <v>48.189166666666665</v>
      </c>
      <c r="H33" s="1046">
        <v>0</v>
      </c>
      <c r="I33" s="1046">
        <f t="shared" si="38"/>
        <v>48.189166666666665</v>
      </c>
      <c r="J33" s="1046">
        <v>0</v>
      </c>
      <c r="K33" s="1046">
        <f t="shared" si="39"/>
        <v>48.189166666666665</v>
      </c>
      <c r="L33" s="1046">
        <v>0</v>
      </c>
      <c r="M33" s="1046">
        <f t="shared" si="40"/>
        <v>48.189166666666665</v>
      </c>
      <c r="N33" s="1046">
        <v>0</v>
      </c>
      <c r="O33" s="1046">
        <f t="shared" si="41"/>
        <v>48.189166666666665</v>
      </c>
      <c r="P33" s="1046">
        <v>0</v>
      </c>
      <c r="Q33" s="1046">
        <f t="shared" si="41"/>
        <v>48.189166666666665</v>
      </c>
      <c r="R33" s="1046">
        <v>0</v>
      </c>
      <c r="S33" s="1046">
        <f t="shared" si="41"/>
        <v>48.189166666666665</v>
      </c>
      <c r="T33" s="1046">
        <v>0</v>
      </c>
      <c r="U33" s="1046">
        <f t="shared" si="41"/>
        <v>48.189166666666665</v>
      </c>
      <c r="V33" s="1046">
        <v>0</v>
      </c>
      <c r="W33" s="1046">
        <f t="shared" si="41"/>
        <v>48.189166666666665</v>
      </c>
      <c r="X33" s="1046">
        <v>0</v>
      </c>
      <c r="Y33" s="1046">
        <f t="shared" si="41"/>
        <v>48.189166666666665</v>
      </c>
      <c r="Z33" s="1046">
        <v>0</v>
      </c>
      <c r="AA33" s="1046">
        <f t="shared" si="41"/>
        <v>48.189166666666665</v>
      </c>
      <c r="AB33" s="1046">
        <v>0</v>
      </c>
    </row>
    <row r="34" spans="1:28" ht="24" customHeight="1" thickTop="1" thickBot="1" x14ac:dyDescent="0.3">
      <c r="A34" s="1049">
        <v>6250018</v>
      </c>
      <c r="B34" s="1048" t="s">
        <v>722</v>
      </c>
      <c r="C34" s="1045">
        <v>129.59</v>
      </c>
      <c r="D34" s="1046">
        <v>0</v>
      </c>
      <c r="E34" s="1046">
        <f>$C34/12</f>
        <v>10.799166666666666</v>
      </c>
      <c r="F34" s="1046">
        <v>0</v>
      </c>
      <c r="G34" s="1046">
        <f>$C34/12</f>
        <v>10.799166666666666</v>
      </c>
      <c r="H34" s="1046">
        <v>0</v>
      </c>
      <c r="I34" s="1046">
        <f>$C34/12</f>
        <v>10.799166666666666</v>
      </c>
      <c r="J34" s="1046">
        <v>0</v>
      </c>
      <c r="K34" s="1046">
        <f>$C34/12</f>
        <v>10.799166666666666</v>
      </c>
      <c r="L34" s="1046">
        <v>0</v>
      </c>
      <c r="M34" s="1046">
        <f>$C34/12</f>
        <v>10.799166666666666</v>
      </c>
      <c r="N34" s="1046">
        <v>0</v>
      </c>
      <c r="O34" s="1046">
        <f>$C34/12</f>
        <v>10.799166666666666</v>
      </c>
      <c r="P34" s="1046">
        <v>0</v>
      </c>
      <c r="Q34" s="1046">
        <f>$C34/12</f>
        <v>10.799166666666666</v>
      </c>
      <c r="R34" s="1046">
        <v>0</v>
      </c>
      <c r="S34" s="1046">
        <f>$C34/12</f>
        <v>10.799166666666666</v>
      </c>
      <c r="T34" s="1046">
        <v>0</v>
      </c>
      <c r="U34" s="1046">
        <f>$C34/12</f>
        <v>10.799166666666666</v>
      </c>
      <c r="V34" s="1046">
        <v>0</v>
      </c>
      <c r="W34" s="1046">
        <f>$C34/12</f>
        <v>10.799166666666666</v>
      </c>
      <c r="X34" s="1046">
        <v>0</v>
      </c>
      <c r="Y34" s="1046">
        <f>$C34/12</f>
        <v>10.799166666666666</v>
      </c>
      <c r="Z34" s="1046">
        <v>0</v>
      </c>
      <c r="AA34" s="1046">
        <f>$C34/12</f>
        <v>10.799166666666666</v>
      </c>
      <c r="AB34" s="1046">
        <v>0</v>
      </c>
    </row>
    <row r="35" spans="1:28" ht="24" customHeight="1" thickTop="1" thickBot="1" x14ac:dyDescent="0.3">
      <c r="A35" s="1049">
        <v>6250019</v>
      </c>
      <c r="B35" s="1048" t="s">
        <v>723</v>
      </c>
      <c r="C35" s="1045">
        <v>135.87</v>
      </c>
      <c r="D35" s="1046">
        <v>0</v>
      </c>
      <c r="E35" s="1046">
        <f t="shared" ref="E35:AA39" si="42">$C35/12</f>
        <v>11.3225</v>
      </c>
      <c r="F35" s="1046">
        <v>0</v>
      </c>
      <c r="G35" s="1046">
        <f t="shared" si="42"/>
        <v>11.3225</v>
      </c>
      <c r="H35" s="1046">
        <v>0</v>
      </c>
      <c r="I35" s="1046">
        <f t="shared" si="42"/>
        <v>11.3225</v>
      </c>
      <c r="J35" s="1046">
        <v>0</v>
      </c>
      <c r="K35" s="1046">
        <f t="shared" si="42"/>
        <v>11.3225</v>
      </c>
      <c r="L35" s="1046">
        <v>0</v>
      </c>
      <c r="M35" s="1046">
        <f t="shared" si="42"/>
        <v>11.3225</v>
      </c>
      <c r="N35" s="1046">
        <v>0</v>
      </c>
      <c r="O35" s="1046">
        <f t="shared" si="42"/>
        <v>11.3225</v>
      </c>
      <c r="P35" s="1046">
        <v>0</v>
      </c>
      <c r="Q35" s="1046">
        <f t="shared" si="42"/>
        <v>11.3225</v>
      </c>
      <c r="R35" s="1046">
        <v>0</v>
      </c>
      <c r="S35" s="1046">
        <f t="shared" si="42"/>
        <v>11.3225</v>
      </c>
      <c r="T35" s="1046">
        <v>0</v>
      </c>
      <c r="U35" s="1046">
        <f t="shared" si="42"/>
        <v>11.3225</v>
      </c>
      <c r="V35" s="1046">
        <v>0</v>
      </c>
      <c r="W35" s="1046">
        <f t="shared" si="42"/>
        <v>11.3225</v>
      </c>
      <c r="X35" s="1046">
        <v>0</v>
      </c>
      <c r="Y35" s="1046">
        <f t="shared" si="42"/>
        <v>11.3225</v>
      </c>
      <c r="Z35" s="1046">
        <v>0</v>
      </c>
      <c r="AA35" s="1046">
        <f t="shared" si="42"/>
        <v>11.3225</v>
      </c>
      <c r="AB35" s="1046">
        <v>0</v>
      </c>
    </row>
    <row r="36" spans="1:28" ht="24" customHeight="1" thickTop="1" thickBot="1" x14ac:dyDescent="0.3">
      <c r="A36" s="1049">
        <v>6250020</v>
      </c>
      <c r="B36" s="1048" t="s">
        <v>724</v>
      </c>
      <c r="C36" s="1045">
        <v>127.96</v>
      </c>
      <c r="D36" s="1046">
        <v>0</v>
      </c>
      <c r="E36" s="1046">
        <f t="shared" si="42"/>
        <v>10.663333333333332</v>
      </c>
      <c r="F36" s="1046">
        <v>0</v>
      </c>
      <c r="G36" s="1046">
        <f t="shared" si="42"/>
        <v>10.663333333333332</v>
      </c>
      <c r="H36" s="1046">
        <v>0</v>
      </c>
      <c r="I36" s="1046">
        <f t="shared" si="42"/>
        <v>10.663333333333332</v>
      </c>
      <c r="J36" s="1046">
        <v>0</v>
      </c>
      <c r="K36" s="1046">
        <f t="shared" si="42"/>
        <v>10.663333333333332</v>
      </c>
      <c r="L36" s="1046">
        <v>0</v>
      </c>
      <c r="M36" s="1046">
        <f t="shared" si="42"/>
        <v>10.663333333333332</v>
      </c>
      <c r="N36" s="1046">
        <v>0</v>
      </c>
      <c r="O36" s="1046">
        <f t="shared" si="42"/>
        <v>10.663333333333332</v>
      </c>
      <c r="P36" s="1046">
        <v>0</v>
      </c>
      <c r="Q36" s="1046">
        <f t="shared" si="42"/>
        <v>10.663333333333332</v>
      </c>
      <c r="R36" s="1046">
        <v>0</v>
      </c>
      <c r="S36" s="1046">
        <f t="shared" si="42"/>
        <v>10.663333333333332</v>
      </c>
      <c r="T36" s="1046">
        <v>0</v>
      </c>
      <c r="U36" s="1046">
        <f t="shared" si="42"/>
        <v>10.663333333333332</v>
      </c>
      <c r="V36" s="1046">
        <v>0</v>
      </c>
      <c r="W36" s="1046">
        <f t="shared" si="42"/>
        <v>10.663333333333332</v>
      </c>
      <c r="X36" s="1046">
        <v>0</v>
      </c>
      <c r="Y36" s="1046">
        <f t="shared" si="42"/>
        <v>10.663333333333332</v>
      </c>
      <c r="Z36" s="1046">
        <v>0</v>
      </c>
      <c r="AA36" s="1046">
        <f t="shared" si="42"/>
        <v>10.663333333333332</v>
      </c>
      <c r="AB36" s="1046">
        <v>0</v>
      </c>
    </row>
    <row r="37" spans="1:28" ht="24" customHeight="1" thickTop="1" thickBot="1" x14ac:dyDescent="0.3">
      <c r="A37" s="1049">
        <v>6250021</v>
      </c>
      <c r="B37" s="1048" t="s">
        <v>736</v>
      </c>
      <c r="C37" s="1045">
        <v>181.14</v>
      </c>
      <c r="D37" s="1046">
        <v>0</v>
      </c>
      <c r="E37" s="1046">
        <f t="shared" si="42"/>
        <v>15.094999999999999</v>
      </c>
      <c r="F37" s="1046">
        <v>0</v>
      </c>
      <c r="G37" s="1046">
        <f t="shared" si="42"/>
        <v>15.094999999999999</v>
      </c>
      <c r="H37" s="1046">
        <v>0</v>
      </c>
      <c r="I37" s="1046">
        <f t="shared" si="42"/>
        <v>15.094999999999999</v>
      </c>
      <c r="J37" s="1046">
        <v>0</v>
      </c>
      <c r="K37" s="1046">
        <f t="shared" si="42"/>
        <v>15.094999999999999</v>
      </c>
      <c r="L37" s="1046">
        <v>0</v>
      </c>
      <c r="M37" s="1046">
        <f t="shared" si="42"/>
        <v>15.094999999999999</v>
      </c>
      <c r="N37" s="1046">
        <v>0</v>
      </c>
      <c r="O37" s="1046">
        <f t="shared" si="42"/>
        <v>15.094999999999999</v>
      </c>
      <c r="P37" s="1046">
        <v>0</v>
      </c>
      <c r="Q37" s="1046">
        <f t="shared" si="42"/>
        <v>15.094999999999999</v>
      </c>
      <c r="R37" s="1046">
        <v>0</v>
      </c>
      <c r="S37" s="1046">
        <f t="shared" si="42"/>
        <v>15.094999999999999</v>
      </c>
      <c r="T37" s="1046">
        <v>0</v>
      </c>
      <c r="U37" s="1046">
        <f t="shared" si="42"/>
        <v>15.094999999999999</v>
      </c>
      <c r="V37" s="1046">
        <v>0</v>
      </c>
      <c r="W37" s="1046">
        <f t="shared" si="42"/>
        <v>15.094999999999999</v>
      </c>
      <c r="X37" s="1046">
        <v>0</v>
      </c>
      <c r="Y37" s="1046">
        <f t="shared" si="42"/>
        <v>15.094999999999999</v>
      </c>
      <c r="Z37" s="1046">
        <v>0</v>
      </c>
      <c r="AA37" s="1046">
        <f t="shared" si="42"/>
        <v>15.094999999999999</v>
      </c>
      <c r="AB37" s="1046">
        <v>0</v>
      </c>
    </row>
    <row r="38" spans="1:28" ht="24" customHeight="1" thickTop="1" thickBot="1" x14ac:dyDescent="0.3">
      <c r="A38" s="1049">
        <v>6250022</v>
      </c>
      <c r="B38" s="1048" t="s">
        <v>737</v>
      </c>
      <c r="C38" s="1045">
        <v>354.73</v>
      </c>
      <c r="D38" s="1046">
        <v>0</v>
      </c>
      <c r="E38" s="1046">
        <f t="shared" si="42"/>
        <v>29.560833333333335</v>
      </c>
      <c r="F38" s="1046">
        <v>0</v>
      </c>
      <c r="G38" s="1046">
        <f t="shared" si="42"/>
        <v>29.560833333333335</v>
      </c>
      <c r="H38" s="1046">
        <v>0</v>
      </c>
      <c r="I38" s="1046">
        <f t="shared" si="42"/>
        <v>29.560833333333335</v>
      </c>
      <c r="J38" s="1046">
        <v>0</v>
      </c>
      <c r="K38" s="1046">
        <f t="shared" si="42"/>
        <v>29.560833333333335</v>
      </c>
      <c r="L38" s="1046">
        <v>0</v>
      </c>
      <c r="M38" s="1046">
        <f t="shared" si="42"/>
        <v>29.560833333333335</v>
      </c>
      <c r="N38" s="1046">
        <v>0</v>
      </c>
      <c r="O38" s="1046">
        <f t="shared" si="42"/>
        <v>29.560833333333335</v>
      </c>
      <c r="P38" s="1046">
        <v>0</v>
      </c>
      <c r="Q38" s="1046">
        <f t="shared" si="42"/>
        <v>29.560833333333335</v>
      </c>
      <c r="R38" s="1046">
        <v>0</v>
      </c>
      <c r="S38" s="1046">
        <f t="shared" si="42"/>
        <v>29.560833333333335</v>
      </c>
      <c r="T38" s="1046">
        <v>0</v>
      </c>
      <c r="U38" s="1046">
        <f t="shared" si="42"/>
        <v>29.560833333333335</v>
      </c>
      <c r="V38" s="1046">
        <v>0</v>
      </c>
      <c r="W38" s="1046">
        <f t="shared" si="42"/>
        <v>29.560833333333335</v>
      </c>
      <c r="X38" s="1046">
        <v>0</v>
      </c>
      <c r="Y38" s="1046">
        <f t="shared" si="42"/>
        <v>29.560833333333335</v>
      </c>
      <c r="Z38" s="1046">
        <v>0</v>
      </c>
      <c r="AA38" s="1046">
        <f t="shared" si="42"/>
        <v>29.560833333333335</v>
      </c>
      <c r="AB38" s="1046">
        <v>0</v>
      </c>
    </row>
    <row r="39" spans="1:28" ht="24" customHeight="1" thickTop="1" thickBot="1" x14ac:dyDescent="0.3">
      <c r="A39" s="1049">
        <v>6250023</v>
      </c>
      <c r="B39" s="1048" t="s">
        <v>738</v>
      </c>
      <c r="C39" s="1045">
        <v>62.02</v>
      </c>
      <c r="D39" s="1046">
        <v>0</v>
      </c>
      <c r="E39" s="1046">
        <f t="shared" si="42"/>
        <v>5.1683333333333339</v>
      </c>
      <c r="F39" s="1046">
        <v>0</v>
      </c>
      <c r="G39" s="1046">
        <f t="shared" si="42"/>
        <v>5.1683333333333339</v>
      </c>
      <c r="H39" s="1046">
        <v>0</v>
      </c>
      <c r="I39" s="1046">
        <f t="shared" si="42"/>
        <v>5.1683333333333339</v>
      </c>
      <c r="J39" s="1046">
        <v>0</v>
      </c>
      <c r="K39" s="1046">
        <f t="shared" si="42"/>
        <v>5.1683333333333339</v>
      </c>
      <c r="L39" s="1046">
        <v>0</v>
      </c>
      <c r="M39" s="1046">
        <f t="shared" si="42"/>
        <v>5.1683333333333339</v>
      </c>
      <c r="N39" s="1046">
        <v>0</v>
      </c>
      <c r="O39" s="1046">
        <f t="shared" si="42"/>
        <v>5.1683333333333339</v>
      </c>
      <c r="P39" s="1046">
        <v>0</v>
      </c>
      <c r="Q39" s="1046">
        <f t="shared" si="42"/>
        <v>5.1683333333333339</v>
      </c>
      <c r="R39" s="1046">
        <v>0</v>
      </c>
      <c r="S39" s="1046">
        <f t="shared" si="42"/>
        <v>5.1683333333333339</v>
      </c>
      <c r="T39" s="1046">
        <v>0</v>
      </c>
      <c r="U39" s="1046">
        <f t="shared" si="42"/>
        <v>5.1683333333333339</v>
      </c>
      <c r="V39" s="1046">
        <v>0</v>
      </c>
      <c r="W39" s="1046">
        <f t="shared" si="42"/>
        <v>5.1683333333333339</v>
      </c>
      <c r="X39" s="1046">
        <v>0</v>
      </c>
      <c r="Y39" s="1046">
        <f t="shared" si="42"/>
        <v>5.1683333333333339</v>
      </c>
      <c r="Z39" s="1046">
        <v>0</v>
      </c>
      <c r="AA39" s="1046">
        <f t="shared" si="42"/>
        <v>5.1683333333333339</v>
      </c>
      <c r="AB39" s="1046">
        <v>0</v>
      </c>
    </row>
    <row r="40" spans="1:28" ht="24" customHeight="1" thickTop="1" thickBot="1" x14ac:dyDescent="0.3">
      <c r="A40" s="561" t="s">
        <v>499</v>
      </c>
      <c r="B40" s="561" t="s">
        <v>500</v>
      </c>
      <c r="C40" s="1045">
        <v>600</v>
      </c>
      <c r="D40" s="1046">
        <v>0</v>
      </c>
      <c r="E40" s="1046">
        <f t="shared" ref="E40:E59" si="43">($C40*$E$1)/$AC$1</f>
        <v>41.739130434782609</v>
      </c>
      <c r="F40" s="1046">
        <v>0</v>
      </c>
      <c r="G40" s="1046">
        <f t="shared" ref="G40:G59" si="44">($C40*$G$1)/$AC$1</f>
        <v>49.565217391304351</v>
      </c>
      <c r="H40" s="1046">
        <v>0</v>
      </c>
      <c r="I40" s="1046">
        <f t="shared" ref="I40:I59" si="45">($C40*$I$1)/$AC$1</f>
        <v>60</v>
      </c>
      <c r="J40" s="1046">
        <v>0</v>
      </c>
      <c r="K40" s="1046">
        <f t="shared" ref="K40:K59" si="46">($C40*$K$1)/$AC$1</f>
        <v>49.565217391304351</v>
      </c>
      <c r="L40" s="1046">
        <v>0</v>
      </c>
      <c r="M40" s="1046">
        <f t="shared" ref="M40:M59" si="47">($C40*$M$1)/$AC$1</f>
        <v>54.782608695652172</v>
      </c>
      <c r="N40" s="1046">
        <v>0</v>
      </c>
      <c r="O40" s="1046">
        <f t="shared" ref="O40:O59" si="48">($C40*$O$1)/$AC$1</f>
        <v>57.391304347826086</v>
      </c>
      <c r="P40" s="1046">
        <v>0</v>
      </c>
      <c r="Q40" s="1046">
        <f t="shared" ref="Q40:Q59" si="49">($C40*$Q$1)/$AC$1</f>
        <v>54.782608695652172</v>
      </c>
      <c r="R40" s="1046">
        <v>0</v>
      </c>
      <c r="S40" s="1046">
        <f t="shared" ref="S40:S59" si="50">($C40*$S$1)/$AC$1</f>
        <v>31.304347826086957</v>
      </c>
      <c r="T40" s="1046">
        <v>0</v>
      </c>
      <c r="U40" s="1046">
        <f t="shared" ref="U40:U59" si="51">($C40*$U$1)/$AC$1</f>
        <v>57.391304347826086</v>
      </c>
      <c r="V40" s="1046">
        <v>0</v>
      </c>
      <c r="W40" s="1046">
        <f t="shared" ref="W40:W59" si="52">($C40*$W$1)/$AC$1</f>
        <v>52.173913043478258</v>
      </c>
      <c r="X40" s="1046">
        <v>0</v>
      </c>
      <c r="Y40" s="1046">
        <f t="shared" ref="Y40:Y59" si="53">($C40*$Y$1)/$AC$1</f>
        <v>54.782608695652172</v>
      </c>
      <c r="Z40" s="1046">
        <v>0</v>
      </c>
      <c r="AA40" s="1046">
        <f t="shared" ref="AA40:AA59" si="54">($C40*$AA$1)/$AC$1</f>
        <v>36.521739130434781</v>
      </c>
      <c r="AB40" s="1046">
        <v>0</v>
      </c>
    </row>
    <row r="41" spans="1:28" ht="24" customHeight="1" thickTop="1" thickBot="1" x14ac:dyDescent="0.3">
      <c r="A41" s="561" t="s">
        <v>501</v>
      </c>
      <c r="B41" s="561" t="s">
        <v>502</v>
      </c>
      <c r="C41" s="1045">
        <v>20</v>
      </c>
      <c r="D41" s="1046">
        <v>0</v>
      </c>
      <c r="E41" s="1046">
        <f t="shared" si="43"/>
        <v>1.3913043478260869</v>
      </c>
      <c r="F41" s="1046">
        <v>0</v>
      </c>
      <c r="G41" s="1046">
        <f t="shared" si="44"/>
        <v>1.6521739130434783</v>
      </c>
      <c r="H41" s="1046">
        <v>0</v>
      </c>
      <c r="I41" s="1046">
        <f t="shared" si="45"/>
        <v>2</v>
      </c>
      <c r="J41" s="1046">
        <v>0</v>
      </c>
      <c r="K41" s="1046">
        <f t="shared" si="46"/>
        <v>1.6521739130434783</v>
      </c>
      <c r="L41" s="1046">
        <v>0</v>
      </c>
      <c r="M41" s="1046">
        <f t="shared" si="47"/>
        <v>1.826086956521739</v>
      </c>
      <c r="N41" s="1046">
        <v>0</v>
      </c>
      <c r="O41" s="1046">
        <f t="shared" si="48"/>
        <v>1.9130434782608696</v>
      </c>
      <c r="P41" s="1046">
        <v>0</v>
      </c>
      <c r="Q41" s="1046">
        <f t="shared" si="49"/>
        <v>1.826086956521739</v>
      </c>
      <c r="R41" s="1046">
        <v>0</v>
      </c>
      <c r="S41" s="1046">
        <f t="shared" si="50"/>
        <v>1.0434782608695652</v>
      </c>
      <c r="T41" s="1046">
        <v>0</v>
      </c>
      <c r="U41" s="1046">
        <f t="shared" si="51"/>
        <v>1.9130434782608696</v>
      </c>
      <c r="V41" s="1046">
        <v>0</v>
      </c>
      <c r="W41" s="1046">
        <f t="shared" si="52"/>
        <v>1.7391304347826086</v>
      </c>
      <c r="X41" s="1046">
        <v>0</v>
      </c>
      <c r="Y41" s="1046">
        <f t="shared" si="53"/>
        <v>1.826086956521739</v>
      </c>
      <c r="Z41" s="1046">
        <v>0</v>
      </c>
      <c r="AA41" s="1046">
        <f t="shared" si="54"/>
        <v>1.2173913043478262</v>
      </c>
      <c r="AB41" s="1046">
        <v>0</v>
      </c>
    </row>
    <row r="42" spans="1:28" ht="24" customHeight="1" thickTop="1" thickBot="1" x14ac:dyDescent="0.3">
      <c r="A42" s="561" t="s">
        <v>503</v>
      </c>
      <c r="B42" s="561" t="s">
        <v>504</v>
      </c>
      <c r="C42" s="1045">
        <v>0</v>
      </c>
      <c r="D42" s="1046">
        <v>0</v>
      </c>
      <c r="E42" s="1046">
        <f t="shared" si="43"/>
        <v>0</v>
      </c>
      <c r="F42" s="1046">
        <v>0</v>
      </c>
      <c r="G42" s="1046">
        <f t="shared" si="44"/>
        <v>0</v>
      </c>
      <c r="H42" s="1046">
        <v>0</v>
      </c>
      <c r="I42" s="1046">
        <f t="shared" si="45"/>
        <v>0</v>
      </c>
      <c r="J42" s="1046">
        <v>0</v>
      </c>
      <c r="K42" s="1046">
        <f t="shared" si="46"/>
        <v>0</v>
      </c>
      <c r="L42" s="1046">
        <v>0</v>
      </c>
      <c r="M42" s="1046">
        <f t="shared" si="47"/>
        <v>0</v>
      </c>
      <c r="N42" s="1046">
        <v>0</v>
      </c>
      <c r="O42" s="1046">
        <f t="shared" si="48"/>
        <v>0</v>
      </c>
      <c r="P42" s="1046">
        <v>0</v>
      </c>
      <c r="Q42" s="1046">
        <f t="shared" si="49"/>
        <v>0</v>
      </c>
      <c r="R42" s="1046">
        <v>0</v>
      </c>
      <c r="S42" s="1046">
        <f t="shared" si="50"/>
        <v>0</v>
      </c>
      <c r="T42" s="1046">
        <v>0</v>
      </c>
      <c r="U42" s="1046">
        <f t="shared" si="51"/>
        <v>0</v>
      </c>
      <c r="V42" s="1046">
        <v>0</v>
      </c>
      <c r="W42" s="1046">
        <f t="shared" si="52"/>
        <v>0</v>
      </c>
      <c r="X42" s="1046">
        <v>0</v>
      </c>
      <c r="Y42" s="1046">
        <f t="shared" si="53"/>
        <v>0</v>
      </c>
      <c r="Z42" s="1046">
        <v>0</v>
      </c>
      <c r="AA42" s="1046">
        <f t="shared" si="54"/>
        <v>0</v>
      </c>
      <c r="AB42" s="1046">
        <v>0</v>
      </c>
    </row>
    <row r="43" spans="1:28" ht="24" customHeight="1" thickTop="1" thickBot="1" x14ac:dyDescent="0.3">
      <c r="A43" s="561" t="s">
        <v>505</v>
      </c>
      <c r="B43" s="561" t="s">
        <v>506</v>
      </c>
      <c r="C43" s="1045">
        <v>500</v>
      </c>
      <c r="D43" s="1046">
        <v>0</v>
      </c>
      <c r="E43" s="1046">
        <f t="shared" si="43"/>
        <v>34.782608695652172</v>
      </c>
      <c r="F43" s="1046">
        <v>0</v>
      </c>
      <c r="G43" s="1046">
        <f t="shared" si="44"/>
        <v>41.304347826086953</v>
      </c>
      <c r="H43" s="1046">
        <v>0</v>
      </c>
      <c r="I43" s="1046">
        <f t="shared" si="45"/>
        <v>50</v>
      </c>
      <c r="J43" s="1046">
        <v>0</v>
      </c>
      <c r="K43" s="1046">
        <f t="shared" si="46"/>
        <v>41.304347826086953</v>
      </c>
      <c r="L43" s="1046">
        <v>0</v>
      </c>
      <c r="M43" s="1046">
        <f t="shared" si="47"/>
        <v>45.652173913043477</v>
      </c>
      <c r="N43" s="1046">
        <v>0</v>
      </c>
      <c r="O43" s="1046">
        <f t="shared" si="48"/>
        <v>47.826086956521742</v>
      </c>
      <c r="P43" s="1046">
        <v>0</v>
      </c>
      <c r="Q43" s="1046">
        <f t="shared" si="49"/>
        <v>45.652173913043477</v>
      </c>
      <c r="R43" s="1046">
        <v>0</v>
      </c>
      <c r="S43" s="1046">
        <f t="shared" si="50"/>
        <v>26.086956521739129</v>
      </c>
      <c r="T43" s="1046">
        <v>0</v>
      </c>
      <c r="U43" s="1046">
        <f t="shared" si="51"/>
        <v>47.826086956521742</v>
      </c>
      <c r="V43" s="1046">
        <v>0</v>
      </c>
      <c r="W43" s="1046">
        <f t="shared" si="52"/>
        <v>43.478260869565219</v>
      </c>
      <c r="X43" s="1046">
        <v>0</v>
      </c>
      <c r="Y43" s="1046">
        <f t="shared" si="53"/>
        <v>45.652173913043477</v>
      </c>
      <c r="Z43" s="1046">
        <v>0</v>
      </c>
      <c r="AA43" s="1046">
        <f t="shared" si="54"/>
        <v>30.434782608695652</v>
      </c>
      <c r="AB43" s="1046">
        <v>0</v>
      </c>
    </row>
    <row r="44" spans="1:28" ht="24" customHeight="1" thickTop="1" thickBot="1" x14ac:dyDescent="0.3">
      <c r="A44" s="1047">
        <v>6280002</v>
      </c>
      <c r="B44" s="561" t="s">
        <v>739</v>
      </c>
      <c r="C44" s="1045">
        <v>1664.68</v>
      </c>
      <c r="D44" s="1046">
        <v>0</v>
      </c>
      <c r="E44" s="1046">
        <f t="shared" si="43"/>
        <v>115.80382608695652</v>
      </c>
      <c r="F44" s="1046">
        <v>0</v>
      </c>
      <c r="G44" s="1046">
        <f t="shared" si="44"/>
        <v>137.51704347826089</v>
      </c>
      <c r="H44" s="1046">
        <v>0</v>
      </c>
      <c r="I44" s="1046">
        <f t="shared" si="45"/>
        <v>166.46799999999999</v>
      </c>
      <c r="J44" s="1046">
        <v>0</v>
      </c>
      <c r="K44" s="1046">
        <f t="shared" si="46"/>
        <v>137.51704347826089</v>
      </c>
      <c r="L44" s="1046">
        <v>0</v>
      </c>
      <c r="M44" s="1046">
        <f t="shared" si="47"/>
        <v>151.99252173913044</v>
      </c>
      <c r="N44" s="1046">
        <v>0</v>
      </c>
      <c r="O44" s="1046">
        <f t="shared" si="48"/>
        <v>159.2302608695652</v>
      </c>
      <c r="P44" s="1046">
        <v>0</v>
      </c>
      <c r="Q44" s="1046">
        <f t="shared" si="49"/>
        <v>151.99252173913044</v>
      </c>
      <c r="R44" s="1046">
        <v>0</v>
      </c>
      <c r="S44" s="1046">
        <f t="shared" si="50"/>
        <v>86.852869565217389</v>
      </c>
      <c r="T44" s="1046">
        <v>0</v>
      </c>
      <c r="U44" s="1046">
        <f t="shared" si="51"/>
        <v>159.2302608695652</v>
      </c>
      <c r="V44" s="1046">
        <v>0</v>
      </c>
      <c r="W44" s="1046">
        <f t="shared" si="52"/>
        <v>144.75478260869565</v>
      </c>
      <c r="X44" s="1046">
        <v>0</v>
      </c>
      <c r="Y44" s="1046">
        <f t="shared" si="53"/>
        <v>151.99252173913044</v>
      </c>
      <c r="Z44" s="1046">
        <v>0</v>
      </c>
      <c r="AA44" s="1046">
        <f t="shared" si="54"/>
        <v>101.32834782608695</v>
      </c>
      <c r="AB44" s="1046">
        <v>0</v>
      </c>
    </row>
    <row r="45" spans="1:28" ht="24" customHeight="1" thickTop="1" thickBot="1" x14ac:dyDescent="0.3">
      <c r="A45" s="561" t="s">
        <v>507</v>
      </c>
      <c r="B45" s="561" t="s">
        <v>508</v>
      </c>
      <c r="C45" s="1045">
        <v>70995.87</v>
      </c>
      <c r="D45" s="1046">
        <v>0</v>
      </c>
      <c r="E45" s="1046">
        <f t="shared" si="43"/>
        <v>4938.8431304347823</v>
      </c>
      <c r="F45" s="1046">
        <v>0</v>
      </c>
      <c r="G45" s="1046">
        <f t="shared" si="44"/>
        <v>5864.8762173913037</v>
      </c>
      <c r="H45" s="1046">
        <v>0</v>
      </c>
      <c r="I45" s="1046">
        <f t="shared" si="45"/>
        <v>7099.5869999999986</v>
      </c>
      <c r="J45" s="1046">
        <v>0</v>
      </c>
      <c r="K45" s="1046">
        <f t="shared" si="46"/>
        <v>5864.8762173913037</v>
      </c>
      <c r="L45" s="1046">
        <v>0</v>
      </c>
      <c r="M45" s="1046">
        <f t="shared" si="47"/>
        <v>6482.2316086956525</v>
      </c>
      <c r="N45" s="1046">
        <v>0</v>
      </c>
      <c r="O45" s="1046">
        <f t="shared" si="48"/>
        <v>6790.909304347826</v>
      </c>
      <c r="P45" s="1046">
        <v>0</v>
      </c>
      <c r="Q45" s="1046">
        <f t="shared" si="49"/>
        <v>6482.2316086956525</v>
      </c>
      <c r="R45" s="1046">
        <v>0</v>
      </c>
      <c r="S45" s="1046">
        <f t="shared" si="50"/>
        <v>3704.1323478260865</v>
      </c>
      <c r="T45" s="1046">
        <v>0</v>
      </c>
      <c r="U45" s="1046">
        <f t="shared" si="51"/>
        <v>6790.909304347826</v>
      </c>
      <c r="V45" s="1046">
        <v>0</v>
      </c>
      <c r="W45" s="1046">
        <f t="shared" si="52"/>
        <v>6173.5539130434781</v>
      </c>
      <c r="X45" s="1046">
        <v>0</v>
      </c>
      <c r="Y45" s="1046">
        <f t="shared" si="53"/>
        <v>6482.2316086956525</v>
      </c>
      <c r="Z45" s="1046">
        <v>0</v>
      </c>
      <c r="AA45" s="1046">
        <f t="shared" si="54"/>
        <v>4321.4877391304344</v>
      </c>
      <c r="AB45" s="1046">
        <v>0</v>
      </c>
    </row>
    <row r="46" spans="1:28" ht="24" customHeight="1" thickTop="1" thickBot="1" x14ac:dyDescent="0.3">
      <c r="A46" s="561" t="s">
        <v>509</v>
      </c>
      <c r="B46" s="561" t="s">
        <v>510</v>
      </c>
      <c r="C46" s="1045">
        <v>10197.09</v>
      </c>
      <c r="D46" s="1046">
        <v>0</v>
      </c>
      <c r="E46" s="1046">
        <f t="shared" si="43"/>
        <v>709.36278260869562</v>
      </c>
      <c r="F46" s="1046">
        <v>0</v>
      </c>
      <c r="G46" s="1046">
        <f t="shared" si="44"/>
        <v>842.3683043478261</v>
      </c>
      <c r="H46" s="1046">
        <v>0</v>
      </c>
      <c r="I46" s="1046">
        <f t="shared" si="45"/>
        <v>1019.7090000000001</v>
      </c>
      <c r="J46" s="1046">
        <v>0</v>
      </c>
      <c r="K46" s="1046">
        <f t="shared" si="46"/>
        <v>842.3683043478261</v>
      </c>
      <c r="L46" s="1046">
        <v>0</v>
      </c>
      <c r="M46" s="1046">
        <f t="shared" si="47"/>
        <v>931.03865217391308</v>
      </c>
      <c r="N46" s="1046">
        <v>0</v>
      </c>
      <c r="O46" s="1046">
        <f t="shared" si="48"/>
        <v>975.37382608695657</v>
      </c>
      <c r="P46" s="1046">
        <v>0</v>
      </c>
      <c r="Q46" s="1046">
        <f t="shared" si="49"/>
        <v>931.03865217391308</v>
      </c>
      <c r="R46" s="1046">
        <v>0</v>
      </c>
      <c r="S46" s="1046">
        <f t="shared" si="50"/>
        <v>532.02208695652178</v>
      </c>
      <c r="T46" s="1046">
        <v>0</v>
      </c>
      <c r="U46" s="1046">
        <f t="shared" si="51"/>
        <v>975.37382608695657</v>
      </c>
      <c r="V46" s="1046">
        <v>0</v>
      </c>
      <c r="W46" s="1046">
        <f t="shared" si="52"/>
        <v>886.70347826086947</v>
      </c>
      <c r="X46" s="1046">
        <v>0</v>
      </c>
      <c r="Y46" s="1046">
        <f t="shared" si="53"/>
        <v>931.03865217391308</v>
      </c>
      <c r="Z46" s="1046">
        <v>0</v>
      </c>
      <c r="AA46" s="1046">
        <f t="shared" si="54"/>
        <v>620.69243478260876</v>
      </c>
      <c r="AB46" s="1046">
        <v>0</v>
      </c>
    </row>
    <row r="47" spans="1:28" ht="24" customHeight="1" thickTop="1" thickBot="1" x14ac:dyDescent="0.3">
      <c r="A47" s="561" t="s">
        <v>511</v>
      </c>
      <c r="B47" s="561" t="s">
        <v>512</v>
      </c>
      <c r="C47" s="1045">
        <v>9972.32</v>
      </c>
      <c r="D47" s="1046">
        <v>0</v>
      </c>
      <c r="E47" s="1046">
        <f t="shared" si="43"/>
        <v>693.7266086956522</v>
      </c>
      <c r="F47" s="1046">
        <v>0</v>
      </c>
      <c r="G47" s="1046">
        <f t="shared" si="44"/>
        <v>823.80034782608686</v>
      </c>
      <c r="H47" s="1046">
        <v>0</v>
      </c>
      <c r="I47" s="1046">
        <f t="shared" si="45"/>
        <v>997.23199999999997</v>
      </c>
      <c r="J47" s="1046">
        <v>0</v>
      </c>
      <c r="K47" s="1046">
        <f t="shared" si="46"/>
        <v>823.80034782608686</v>
      </c>
      <c r="L47" s="1046">
        <v>0</v>
      </c>
      <c r="M47" s="1046">
        <f t="shared" si="47"/>
        <v>910.51617391304353</v>
      </c>
      <c r="N47" s="1046">
        <v>0</v>
      </c>
      <c r="O47" s="1046">
        <f t="shared" si="48"/>
        <v>953.87408695652164</v>
      </c>
      <c r="P47" s="1046">
        <v>0</v>
      </c>
      <c r="Q47" s="1046">
        <f t="shared" si="49"/>
        <v>910.51617391304353</v>
      </c>
      <c r="R47" s="1046">
        <v>0</v>
      </c>
      <c r="S47" s="1046">
        <f t="shared" si="50"/>
        <v>520.2949565217391</v>
      </c>
      <c r="T47" s="1046">
        <v>0</v>
      </c>
      <c r="U47" s="1046">
        <f t="shared" si="51"/>
        <v>953.87408695652164</v>
      </c>
      <c r="V47" s="1046">
        <v>0</v>
      </c>
      <c r="W47" s="1046">
        <f t="shared" si="52"/>
        <v>867.1582608695652</v>
      </c>
      <c r="X47" s="1046">
        <v>0</v>
      </c>
      <c r="Y47" s="1046">
        <f t="shared" si="53"/>
        <v>910.51617391304353</v>
      </c>
      <c r="Z47" s="1046">
        <v>0</v>
      </c>
      <c r="AA47" s="1046">
        <f t="shared" si="54"/>
        <v>607.01078260869554</v>
      </c>
      <c r="AB47" s="1046">
        <v>0</v>
      </c>
    </row>
    <row r="48" spans="1:28" ht="24" customHeight="1" thickTop="1" thickBot="1" x14ac:dyDescent="0.3">
      <c r="A48" s="561" t="s">
        <v>513</v>
      </c>
      <c r="B48" s="561" t="s">
        <v>514</v>
      </c>
      <c r="C48" s="1045">
        <v>5473.11</v>
      </c>
      <c r="D48" s="1046">
        <v>0</v>
      </c>
      <c r="E48" s="1046">
        <f t="shared" si="43"/>
        <v>380.73808695652173</v>
      </c>
      <c r="F48" s="1046">
        <v>0</v>
      </c>
      <c r="G48" s="1046">
        <f t="shared" si="44"/>
        <v>452.12647826086953</v>
      </c>
      <c r="H48" s="1046">
        <v>0</v>
      </c>
      <c r="I48" s="1046">
        <f t="shared" si="45"/>
        <v>547.31100000000004</v>
      </c>
      <c r="J48" s="1046">
        <v>0</v>
      </c>
      <c r="K48" s="1046">
        <f t="shared" si="46"/>
        <v>452.12647826086953</v>
      </c>
      <c r="L48" s="1046">
        <v>0</v>
      </c>
      <c r="M48" s="1046">
        <f t="shared" si="47"/>
        <v>499.71873913043476</v>
      </c>
      <c r="N48" s="1046">
        <v>0</v>
      </c>
      <c r="O48" s="1046">
        <f t="shared" si="48"/>
        <v>523.5148695652174</v>
      </c>
      <c r="P48" s="1046">
        <v>0</v>
      </c>
      <c r="Q48" s="1046">
        <f t="shared" si="49"/>
        <v>499.71873913043476</v>
      </c>
      <c r="R48" s="1046">
        <v>0</v>
      </c>
      <c r="S48" s="1046">
        <f t="shared" si="50"/>
        <v>285.55356521739128</v>
      </c>
      <c r="T48" s="1046">
        <v>0</v>
      </c>
      <c r="U48" s="1046">
        <f t="shared" si="51"/>
        <v>523.5148695652174</v>
      </c>
      <c r="V48" s="1046">
        <v>0</v>
      </c>
      <c r="W48" s="1046">
        <f t="shared" si="52"/>
        <v>475.92260869565217</v>
      </c>
      <c r="X48" s="1046">
        <v>0</v>
      </c>
      <c r="Y48" s="1046">
        <f t="shared" si="53"/>
        <v>499.71873913043476</v>
      </c>
      <c r="Z48" s="1046">
        <v>0</v>
      </c>
      <c r="AA48" s="1046">
        <f t="shared" si="54"/>
        <v>333.1458260869565</v>
      </c>
      <c r="AB48" s="1046">
        <v>0</v>
      </c>
    </row>
    <row r="49" spans="1:28" ht="24" customHeight="1" thickTop="1" thickBot="1" x14ac:dyDescent="0.3">
      <c r="A49" s="561" t="s">
        <v>515</v>
      </c>
      <c r="B49" s="561" t="s">
        <v>516</v>
      </c>
      <c r="C49" s="1045">
        <v>85634.04</v>
      </c>
      <c r="D49" s="1046">
        <v>0</v>
      </c>
      <c r="E49" s="1046">
        <f t="shared" si="43"/>
        <v>5957.1506086956515</v>
      </c>
      <c r="F49" s="1046">
        <v>0</v>
      </c>
      <c r="G49" s="1046">
        <f t="shared" si="44"/>
        <v>7074.116347826086</v>
      </c>
      <c r="H49" s="1046">
        <v>0</v>
      </c>
      <c r="I49" s="1046">
        <f t="shared" si="45"/>
        <v>8563.4040000000005</v>
      </c>
      <c r="J49" s="1046">
        <v>0</v>
      </c>
      <c r="K49" s="1046">
        <f t="shared" si="46"/>
        <v>7074.116347826086</v>
      </c>
      <c r="L49" s="1046">
        <v>0</v>
      </c>
      <c r="M49" s="1046">
        <f t="shared" si="47"/>
        <v>7818.7601739130432</v>
      </c>
      <c r="N49" s="1046">
        <v>0</v>
      </c>
      <c r="O49" s="1046">
        <f t="shared" si="48"/>
        <v>8191.0820869565214</v>
      </c>
      <c r="P49" s="1046">
        <v>0</v>
      </c>
      <c r="Q49" s="1046">
        <f t="shared" si="49"/>
        <v>7818.7601739130432</v>
      </c>
      <c r="R49" s="1046">
        <v>0</v>
      </c>
      <c r="S49" s="1046">
        <f t="shared" si="50"/>
        <v>4467.8629565217389</v>
      </c>
      <c r="T49" s="1046">
        <v>0</v>
      </c>
      <c r="U49" s="1046">
        <f t="shared" si="51"/>
        <v>8191.0820869565214</v>
      </c>
      <c r="V49" s="1046">
        <v>0</v>
      </c>
      <c r="W49" s="1046">
        <f t="shared" si="52"/>
        <v>7446.4382608695641</v>
      </c>
      <c r="X49" s="1046">
        <v>0</v>
      </c>
      <c r="Y49" s="1046">
        <f t="shared" si="53"/>
        <v>7818.7601739130432</v>
      </c>
      <c r="Z49" s="1046">
        <v>0</v>
      </c>
      <c r="AA49" s="1046">
        <f t="shared" si="54"/>
        <v>5212.5067826086952</v>
      </c>
      <c r="AB49" s="1046">
        <v>0</v>
      </c>
    </row>
    <row r="50" spans="1:28" ht="24" customHeight="1" thickTop="1" thickBot="1" x14ac:dyDescent="0.3">
      <c r="A50" s="1047">
        <v>6284100</v>
      </c>
      <c r="B50" s="561" t="s">
        <v>740</v>
      </c>
      <c r="C50" s="1045">
        <v>150</v>
      </c>
      <c r="D50" s="1046">
        <v>0</v>
      </c>
      <c r="E50" s="1046">
        <f t="shared" si="43"/>
        <v>10.434782608695652</v>
      </c>
      <c r="F50" s="1046">
        <v>0</v>
      </c>
      <c r="G50" s="1046">
        <f t="shared" si="44"/>
        <v>12.391304347826088</v>
      </c>
      <c r="H50" s="1046">
        <v>0</v>
      </c>
      <c r="I50" s="1046">
        <f t="shared" si="45"/>
        <v>15</v>
      </c>
      <c r="J50" s="1046">
        <v>0</v>
      </c>
      <c r="K50" s="1046">
        <f t="shared" si="46"/>
        <v>12.391304347826088</v>
      </c>
      <c r="L50" s="1046">
        <v>0</v>
      </c>
      <c r="M50" s="1046">
        <f t="shared" si="47"/>
        <v>13.695652173913043</v>
      </c>
      <c r="N50" s="1046">
        <v>0</v>
      </c>
      <c r="O50" s="1046">
        <f t="shared" si="48"/>
        <v>14.347826086956522</v>
      </c>
      <c r="P50" s="1046">
        <v>0</v>
      </c>
      <c r="Q50" s="1046">
        <f t="shared" si="49"/>
        <v>13.695652173913043</v>
      </c>
      <c r="R50" s="1046">
        <v>0</v>
      </c>
      <c r="S50" s="1046">
        <f t="shared" si="50"/>
        <v>7.8260869565217392</v>
      </c>
      <c r="T50" s="1046">
        <v>0</v>
      </c>
      <c r="U50" s="1046">
        <f t="shared" si="51"/>
        <v>14.347826086956522</v>
      </c>
      <c r="V50" s="1046">
        <v>0</v>
      </c>
      <c r="W50" s="1046">
        <f t="shared" si="52"/>
        <v>13.043478260869565</v>
      </c>
      <c r="X50" s="1046">
        <v>0</v>
      </c>
      <c r="Y50" s="1046">
        <f t="shared" si="53"/>
        <v>13.695652173913043</v>
      </c>
      <c r="Z50" s="1046">
        <v>0</v>
      </c>
      <c r="AA50" s="1046">
        <f t="shared" si="54"/>
        <v>9.1304347826086953</v>
      </c>
      <c r="AB50" s="1046">
        <v>0</v>
      </c>
    </row>
    <row r="51" spans="1:28" ht="24" customHeight="1" thickTop="1" thickBot="1" x14ac:dyDescent="0.3">
      <c r="A51" s="561" t="s">
        <v>517</v>
      </c>
      <c r="B51" s="561" t="s">
        <v>518</v>
      </c>
      <c r="C51" s="1045">
        <v>15500</v>
      </c>
      <c r="D51" s="1046">
        <v>0</v>
      </c>
      <c r="E51" s="1046">
        <f t="shared" si="43"/>
        <v>1078.2608695652175</v>
      </c>
      <c r="F51" s="1046">
        <v>0</v>
      </c>
      <c r="G51" s="1046">
        <f t="shared" si="44"/>
        <v>1280.4347826086957</v>
      </c>
      <c r="H51" s="1046">
        <v>0</v>
      </c>
      <c r="I51" s="1046">
        <f t="shared" si="45"/>
        <v>1550</v>
      </c>
      <c r="J51" s="1046">
        <v>0</v>
      </c>
      <c r="K51" s="1046">
        <f t="shared" si="46"/>
        <v>1280.4347826086957</v>
      </c>
      <c r="L51" s="1046">
        <v>0</v>
      </c>
      <c r="M51" s="1046">
        <f t="shared" si="47"/>
        <v>1415.2173913043478</v>
      </c>
      <c r="N51" s="1046">
        <v>0</v>
      </c>
      <c r="O51" s="1046">
        <f t="shared" si="48"/>
        <v>1482.608695652174</v>
      </c>
      <c r="P51" s="1046">
        <v>0</v>
      </c>
      <c r="Q51" s="1046">
        <f t="shared" si="49"/>
        <v>1415.2173913043478</v>
      </c>
      <c r="R51" s="1046">
        <v>0</v>
      </c>
      <c r="S51" s="1046">
        <f t="shared" si="50"/>
        <v>808.695652173913</v>
      </c>
      <c r="T51" s="1046">
        <v>0</v>
      </c>
      <c r="U51" s="1046">
        <f t="shared" si="51"/>
        <v>1482.608695652174</v>
      </c>
      <c r="V51" s="1046">
        <v>0</v>
      </c>
      <c r="W51" s="1046">
        <f t="shared" si="52"/>
        <v>1347.8260869565217</v>
      </c>
      <c r="X51" s="1046">
        <v>0</v>
      </c>
      <c r="Y51" s="1046">
        <f t="shared" si="53"/>
        <v>1415.2173913043478</v>
      </c>
      <c r="Z51" s="1046">
        <v>0</v>
      </c>
      <c r="AA51" s="1046">
        <f t="shared" si="54"/>
        <v>943.47826086956525</v>
      </c>
      <c r="AB51" s="1046">
        <v>0</v>
      </c>
    </row>
    <row r="52" spans="1:28" ht="24" customHeight="1" thickTop="1" thickBot="1" x14ac:dyDescent="0.3">
      <c r="A52" s="1047">
        <v>6290001</v>
      </c>
      <c r="B52" s="561" t="s">
        <v>741</v>
      </c>
      <c r="C52" s="1045">
        <v>1000</v>
      </c>
      <c r="D52" s="1046">
        <v>0</v>
      </c>
      <c r="E52" s="1046">
        <f t="shared" si="43"/>
        <v>69.565217391304344</v>
      </c>
      <c r="F52" s="1046">
        <v>0</v>
      </c>
      <c r="G52" s="1046">
        <f t="shared" si="44"/>
        <v>82.608695652173907</v>
      </c>
      <c r="H52" s="1046">
        <v>0</v>
      </c>
      <c r="I52" s="1046">
        <f t="shared" si="45"/>
        <v>100</v>
      </c>
      <c r="J52" s="1046">
        <v>0</v>
      </c>
      <c r="K52" s="1046">
        <f t="shared" si="46"/>
        <v>82.608695652173907</v>
      </c>
      <c r="L52" s="1046">
        <v>0</v>
      </c>
      <c r="M52" s="1046">
        <f t="shared" si="47"/>
        <v>91.304347826086953</v>
      </c>
      <c r="N52" s="1046">
        <v>0</v>
      </c>
      <c r="O52" s="1046">
        <f t="shared" si="48"/>
        <v>95.652173913043484</v>
      </c>
      <c r="P52" s="1046">
        <v>0</v>
      </c>
      <c r="Q52" s="1046">
        <f t="shared" si="49"/>
        <v>91.304347826086953</v>
      </c>
      <c r="R52" s="1046">
        <v>0</v>
      </c>
      <c r="S52" s="1046">
        <f t="shared" si="50"/>
        <v>52.173913043478258</v>
      </c>
      <c r="T52" s="1046">
        <v>0</v>
      </c>
      <c r="U52" s="1046">
        <f t="shared" si="51"/>
        <v>95.652173913043484</v>
      </c>
      <c r="V52" s="1046">
        <v>0</v>
      </c>
      <c r="W52" s="1046">
        <f t="shared" si="52"/>
        <v>86.956521739130437</v>
      </c>
      <c r="X52" s="1046">
        <v>0</v>
      </c>
      <c r="Y52" s="1046">
        <f t="shared" si="53"/>
        <v>91.304347826086953</v>
      </c>
      <c r="Z52" s="1046">
        <v>0</v>
      </c>
      <c r="AA52" s="1046">
        <f t="shared" si="54"/>
        <v>60.869565217391305</v>
      </c>
      <c r="AB52" s="1046">
        <v>0</v>
      </c>
    </row>
    <row r="53" spans="1:28" ht="24" customHeight="1" thickTop="1" thickBot="1" x14ac:dyDescent="0.3">
      <c r="A53" s="561" t="s">
        <v>519</v>
      </c>
      <c r="B53" s="561" t="s">
        <v>520</v>
      </c>
      <c r="C53" s="1045">
        <v>1500</v>
      </c>
      <c r="D53" s="1046">
        <v>0</v>
      </c>
      <c r="E53" s="1046">
        <f t="shared" si="43"/>
        <v>104.34782608695652</v>
      </c>
      <c r="F53" s="1046">
        <v>0</v>
      </c>
      <c r="G53" s="1046">
        <f t="shared" si="44"/>
        <v>123.91304347826087</v>
      </c>
      <c r="H53" s="1046">
        <v>0</v>
      </c>
      <c r="I53" s="1046">
        <f t="shared" si="45"/>
        <v>150</v>
      </c>
      <c r="J53" s="1046">
        <v>0</v>
      </c>
      <c r="K53" s="1046">
        <f t="shared" si="46"/>
        <v>123.91304347826087</v>
      </c>
      <c r="L53" s="1046">
        <v>0</v>
      </c>
      <c r="M53" s="1046">
        <f t="shared" si="47"/>
        <v>136.95652173913044</v>
      </c>
      <c r="N53" s="1046">
        <v>0</v>
      </c>
      <c r="O53" s="1046">
        <f t="shared" si="48"/>
        <v>143.47826086956522</v>
      </c>
      <c r="P53" s="1046">
        <v>0</v>
      </c>
      <c r="Q53" s="1046">
        <f t="shared" si="49"/>
        <v>136.95652173913044</v>
      </c>
      <c r="R53" s="1046">
        <v>0</v>
      </c>
      <c r="S53" s="1046">
        <f t="shared" si="50"/>
        <v>78.260869565217391</v>
      </c>
      <c r="T53" s="1046">
        <v>0</v>
      </c>
      <c r="U53" s="1046">
        <f t="shared" si="51"/>
        <v>143.47826086956522</v>
      </c>
      <c r="V53" s="1046">
        <v>0</v>
      </c>
      <c r="W53" s="1046">
        <f t="shared" si="52"/>
        <v>130.43478260869566</v>
      </c>
      <c r="X53" s="1046">
        <v>0</v>
      </c>
      <c r="Y53" s="1046">
        <f t="shared" si="53"/>
        <v>136.95652173913044</v>
      </c>
      <c r="Z53" s="1046">
        <v>0</v>
      </c>
      <c r="AA53" s="1046">
        <f t="shared" si="54"/>
        <v>91.304347826086953</v>
      </c>
      <c r="AB53" s="1046">
        <v>0</v>
      </c>
    </row>
    <row r="54" spans="1:28" ht="24" customHeight="1" thickTop="1" thickBot="1" x14ac:dyDescent="0.3">
      <c r="A54" s="561" t="s">
        <v>521</v>
      </c>
      <c r="B54" s="561" t="s">
        <v>522</v>
      </c>
      <c r="C54" s="1045">
        <v>4308.4799999999996</v>
      </c>
      <c r="D54" s="1046">
        <v>0</v>
      </c>
      <c r="E54" s="1046">
        <f t="shared" si="43"/>
        <v>299.72034782608694</v>
      </c>
      <c r="F54" s="1046">
        <v>0</v>
      </c>
      <c r="G54" s="1046">
        <f t="shared" si="44"/>
        <v>355.91791304347822</v>
      </c>
      <c r="H54" s="1046">
        <v>0</v>
      </c>
      <c r="I54" s="1046">
        <f t="shared" si="45"/>
        <v>430.84799999999996</v>
      </c>
      <c r="J54" s="1046">
        <v>0</v>
      </c>
      <c r="K54" s="1046">
        <f t="shared" si="46"/>
        <v>355.91791304347822</v>
      </c>
      <c r="L54" s="1046">
        <v>0</v>
      </c>
      <c r="M54" s="1046">
        <f t="shared" si="47"/>
        <v>393.38295652173906</v>
      </c>
      <c r="N54" s="1046">
        <v>0</v>
      </c>
      <c r="O54" s="1046">
        <f t="shared" si="48"/>
        <v>412.11547826086957</v>
      </c>
      <c r="P54" s="1046">
        <v>0</v>
      </c>
      <c r="Q54" s="1046">
        <f t="shared" si="49"/>
        <v>393.38295652173906</v>
      </c>
      <c r="R54" s="1046">
        <v>0</v>
      </c>
      <c r="S54" s="1046">
        <f t="shared" si="50"/>
        <v>224.7902608695652</v>
      </c>
      <c r="T54" s="1046">
        <v>0</v>
      </c>
      <c r="U54" s="1046">
        <f t="shared" si="51"/>
        <v>412.11547826086957</v>
      </c>
      <c r="V54" s="1046">
        <v>0</v>
      </c>
      <c r="W54" s="1046">
        <f t="shared" si="52"/>
        <v>374.65043478260867</v>
      </c>
      <c r="X54" s="1046">
        <v>0</v>
      </c>
      <c r="Y54" s="1046">
        <f t="shared" si="53"/>
        <v>393.38295652173906</v>
      </c>
      <c r="Z54" s="1046">
        <v>0</v>
      </c>
      <c r="AA54" s="1046">
        <f t="shared" si="54"/>
        <v>262.25530434782604</v>
      </c>
      <c r="AB54" s="1046">
        <v>0</v>
      </c>
    </row>
    <row r="55" spans="1:28" ht="24" customHeight="1" thickTop="1" thickBot="1" x14ac:dyDescent="0.3">
      <c r="A55" s="561" t="s">
        <v>523</v>
      </c>
      <c r="B55" s="561" t="s">
        <v>524</v>
      </c>
      <c r="C55" s="1045">
        <v>2100</v>
      </c>
      <c r="D55" s="1046">
        <v>0</v>
      </c>
      <c r="E55" s="1046">
        <f t="shared" si="43"/>
        <v>146.08695652173913</v>
      </c>
      <c r="F55" s="1046">
        <v>0</v>
      </c>
      <c r="G55" s="1046">
        <f t="shared" si="44"/>
        <v>173.47826086956522</v>
      </c>
      <c r="H55" s="1046">
        <v>0</v>
      </c>
      <c r="I55" s="1046">
        <f t="shared" si="45"/>
        <v>210</v>
      </c>
      <c r="J55" s="1046">
        <v>0</v>
      </c>
      <c r="K55" s="1046">
        <f t="shared" si="46"/>
        <v>173.47826086956522</v>
      </c>
      <c r="L55" s="1046">
        <v>0</v>
      </c>
      <c r="M55" s="1046">
        <f t="shared" si="47"/>
        <v>191.7391304347826</v>
      </c>
      <c r="N55" s="1046">
        <v>0</v>
      </c>
      <c r="O55" s="1046">
        <f t="shared" si="48"/>
        <v>200.86956521739131</v>
      </c>
      <c r="P55" s="1046">
        <v>0</v>
      </c>
      <c r="Q55" s="1046">
        <f t="shared" si="49"/>
        <v>191.7391304347826</v>
      </c>
      <c r="R55" s="1046">
        <v>0</v>
      </c>
      <c r="S55" s="1046">
        <f t="shared" si="50"/>
        <v>109.56521739130434</v>
      </c>
      <c r="T55" s="1046">
        <v>0</v>
      </c>
      <c r="U55" s="1046">
        <f t="shared" si="51"/>
        <v>200.86956521739131</v>
      </c>
      <c r="V55" s="1046">
        <v>0</v>
      </c>
      <c r="W55" s="1046">
        <f t="shared" si="52"/>
        <v>182.60869565217391</v>
      </c>
      <c r="X55" s="1046">
        <v>0</v>
      </c>
      <c r="Y55" s="1046">
        <f t="shared" si="53"/>
        <v>191.7391304347826</v>
      </c>
      <c r="Z55" s="1046">
        <v>0</v>
      </c>
      <c r="AA55" s="1046">
        <f t="shared" si="54"/>
        <v>127.82608695652173</v>
      </c>
      <c r="AB55" s="1046">
        <v>0</v>
      </c>
    </row>
    <row r="56" spans="1:28" ht="24" customHeight="1" thickTop="1" thickBot="1" x14ac:dyDescent="0.3">
      <c r="A56" s="1047">
        <v>6291000</v>
      </c>
      <c r="B56" s="561" t="s">
        <v>725</v>
      </c>
      <c r="C56" s="1045">
        <v>50000</v>
      </c>
      <c r="D56" s="1046">
        <v>0</v>
      </c>
      <c r="E56" s="1046">
        <f>C56/10</f>
        <v>5000</v>
      </c>
      <c r="F56" s="1046">
        <v>0</v>
      </c>
      <c r="G56" s="1046">
        <f>$C$56/10</f>
        <v>5000</v>
      </c>
      <c r="H56" s="1046">
        <v>0</v>
      </c>
      <c r="I56" s="1046">
        <f>$C$56/10</f>
        <v>5000</v>
      </c>
      <c r="J56" s="1046">
        <v>0</v>
      </c>
      <c r="K56" s="1046">
        <f>$C$56/10</f>
        <v>5000</v>
      </c>
      <c r="L56" s="1046">
        <v>0</v>
      </c>
      <c r="M56" s="1046">
        <f>$C$56/10</f>
        <v>5000</v>
      </c>
      <c r="N56" s="1046">
        <v>0</v>
      </c>
      <c r="O56" s="1046">
        <f>$C$56/10</f>
        <v>5000</v>
      </c>
      <c r="P56" s="1046">
        <v>0</v>
      </c>
      <c r="Q56" s="1046">
        <f>$C$56/10</f>
        <v>5000</v>
      </c>
      <c r="R56" s="1046">
        <v>0</v>
      </c>
      <c r="S56" s="1046">
        <v>0</v>
      </c>
      <c r="T56" s="1046">
        <v>0</v>
      </c>
      <c r="U56" s="1046">
        <f>$C$56/10</f>
        <v>5000</v>
      </c>
      <c r="V56" s="1046">
        <v>0</v>
      </c>
      <c r="W56" s="1046">
        <f>$C$56/10</f>
        <v>5000</v>
      </c>
      <c r="X56" s="1046">
        <v>0</v>
      </c>
      <c r="Y56" s="1046">
        <f>$C$56/10</f>
        <v>5000</v>
      </c>
      <c r="Z56" s="1046">
        <v>0</v>
      </c>
      <c r="AA56" s="1046">
        <v>0</v>
      </c>
      <c r="AB56" s="1046">
        <v>0</v>
      </c>
    </row>
    <row r="57" spans="1:28" ht="24" customHeight="1" thickTop="1" thickBot="1" x14ac:dyDescent="0.3">
      <c r="A57" s="561" t="s">
        <v>525</v>
      </c>
      <c r="B57" s="561" t="s">
        <v>526</v>
      </c>
      <c r="C57" s="1045">
        <v>1624.04</v>
      </c>
      <c r="D57" s="1046">
        <v>0</v>
      </c>
      <c r="E57" s="1046">
        <f t="shared" si="43"/>
        <v>112.97669565217392</v>
      </c>
      <c r="F57" s="1046">
        <v>0</v>
      </c>
      <c r="G57" s="1046">
        <f t="shared" si="44"/>
        <v>134.15982608695651</v>
      </c>
      <c r="H57" s="1046">
        <v>0</v>
      </c>
      <c r="I57" s="1046">
        <f t="shared" si="45"/>
        <v>162.404</v>
      </c>
      <c r="J57" s="1046">
        <v>0</v>
      </c>
      <c r="K57" s="1046">
        <f t="shared" si="46"/>
        <v>134.15982608695651</v>
      </c>
      <c r="L57" s="1046">
        <v>0</v>
      </c>
      <c r="M57" s="1046">
        <f t="shared" si="47"/>
        <v>148.28191304347826</v>
      </c>
      <c r="N57" s="1046">
        <v>0</v>
      </c>
      <c r="O57" s="1046">
        <f t="shared" si="48"/>
        <v>155.34295652173913</v>
      </c>
      <c r="P57" s="1046">
        <v>0</v>
      </c>
      <c r="Q57" s="1046">
        <f t="shared" si="49"/>
        <v>148.28191304347826</v>
      </c>
      <c r="R57" s="1046">
        <v>0</v>
      </c>
      <c r="S57" s="1046">
        <f t="shared" si="50"/>
        <v>84.732521739130434</v>
      </c>
      <c r="T57" s="1046">
        <v>0</v>
      </c>
      <c r="U57" s="1046">
        <f t="shared" si="51"/>
        <v>155.34295652173913</v>
      </c>
      <c r="V57" s="1046">
        <v>0</v>
      </c>
      <c r="W57" s="1046">
        <f t="shared" si="52"/>
        <v>141.22086956521738</v>
      </c>
      <c r="X57" s="1046">
        <v>0</v>
      </c>
      <c r="Y57" s="1046">
        <f t="shared" si="53"/>
        <v>148.28191304347826</v>
      </c>
      <c r="Z57" s="1046">
        <v>0</v>
      </c>
      <c r="AA57" s="1046">
        <f t="shared" si="54"/>
        <v>98.854608695652161</v>
      </c>
      <c r="AB57" s="1046">
        <v>0</v>
      </c>
    </row>
    <row r="58" spans="1:28" ht="24" customHeight="1" thickTop="1" thickBot="1" x14ac:dyDescent="0.3">
      <c r="A58" s="1047">
        <v>6300000</v>
      </c>
      <c r="B58" s="561" t="s">
        <v>742</v>
      </c>
      <c r="C58" s="1045">
        <v>22500</v>
      </c>
      <c r="D58" s="1046">
        <v>0</v>
      </c>
      <c r="E58" s="1046">
        <f t="shared" si="43"/>
        <v>1565.2173913043478</v>
      </c>
      <c r="F58" s="1046">
        <v>0</v>
      </c>
      <c r="G58" s="1046">
        <f t="shared" si="44"/>
        <v>1858.695652173913</v>
      </c>
      <c r="H58" s="1046">
        <v>0</v>
      </c>
      <c r="I58" s="1046">
        <f t="shared" si="45"/>
        <v>2250</v>
      </c>
      <c r="J58" s="1046">
        <v>0</v>
      </c>
      <c r="K58" s="1046">
        <f t="shared" si="46"/>
        <v>1858.695652173913</v>
      </c>
      <c r="L58" s="1046">
        <v>0</v>
      </c>
      <c r="M58" s="1046">
        <f t="shared" si="47"/>
        <v>2054.3478260869565</v>
      </c>
      <c r="N58" s="1046">
        <v>0</v>
      </c>
      <c r="O58" s="1046">
        <f t="shared" si="48"/>
        <v>2152.1739130434785</v>
      </c>
      <c r="P58" s="1046">
        <v>0</v>
      </c>
      <c r="Q58" s="1046">
        <f t="shared" si="49"/>
        <v>2054.3478260869565</v>
      </c>
      <c r="R58" s="1046">
        <v>0</v>
      </c>
      <c r="S58" s="1046">
        <f t="shared" si="50"/>
        <v>1173.9130434782608</v>
      </c>
      <c r="T58" s="1046">
        <v>0</v>
      </c>
      <c r="U58" s="1046">
        <f t="shared" si="51"/>
        <v>2152.1739130434785</v>
      </c>
      <c r="V58" s="1046">
        <v>0</v>
      </c>
      <c r="W58" s="1046">
        <f t="shared" si="52"/>
        <v>1956.5217391304348</v>
      </c>
      <c r="X58" s="1046">
        <v>0</v>
      </c>
      <c r="Y58" s="1046">
        <f t="shared" si="53"/>
        <v>2054.3478260869565</v>
      </c>
      <c r="Z58" s="1046">
        <v>0</v>
      </c>
      <c r="AA58" s="1046">
        <f t="shared" si="54"/>
        <v>1369.5652173913043</v>
      </c>
      <c r="AB58" s="1046">
        <v>0</v>
      </c>
    </row>
    <row r="59" spans="1:28" ht="24" customHeight="1" thickTop="1" thickBot="1" x14ac:dyDescent="0.3">
      <c r="A59" s="561" t="s">
        <v>527</v>
      </c>
      <c r="B59" s="561" t="s">
        <v>528</v>
      </c>
      <c r="C59" s="1045">
        <v>6500</v>
      </c>
      <c r="D59" s="1046">
        <v>0</v>
      </c>
      <c r="E59" s="1046">
        <f t="shared" si="43"/>
        <v>452.17391304347825</v>
      </c>
      <c r="F59" s="1046">
        <v>0</v>
      </c>
      <c r="G59" s="1046">
        <f t="shared" si="44"/>
        <v>536.95652173913038</v>
      </c>
      <c r="H59" s="1046">
        <v>0</v>
      </c>
      <c r="I59" s="1046">
        <f t="shared" si="45"/>
        <v>650</v>
      </c>
      <c r="J59" s="1046">
        <v>0</v>
      </c>
      <c r="K59" s="1046">
        <f t="shared" si="46"/>
        <v>536.95652173913038</v>
      </c>
      <c r="L59" s="1046">
        <v>0</v>
      </c>
      <c r="M59" s="1046">
        <f t="shared" si="47"/>
        <v>593.47826086956525</v>
      </c>
      <c r="N59" s="1046">
        <v>0</v>
      </c>
      <c r="O59" s="1046">
        <f t="shared" si="48"/>
        <v>621.73913043478262</v>
      </c>
      <c r="P59" s="1046">
        <v>0</v>
      </c>
      <c r="Q59" s="1046">
        <f t="shared" si="49"/>
        <v>593.47826086956525</v>
      </c>
      <c r="R59" s="1046">
        <v>0</v>
      </c>
      <c r="S59" s="1046">
        <f t="shared" si="50"/>
        <v>339.13043478260869</v>
      </c>
      <c r="T59" s="1046">
        <v>0</v>
      </c>
      <c r="U59" s="1046">
        <f t="shared" si="51"/>
        <v>621.73913043478262</v>
      </c>
      <c r="V59" s="1046">
        <v>0</v>
      </c>
      <c r="W59" s="1046">
        <f t="shared" si="52"/>
        <v>565.21739130434787</v>
      </c>
      <c r="X59" s="1046">
        <v>0</v>
      </c>
      <c r="Y59" s="1046">
        <f t="shared" si="53"/>
        <v>593.47826086956525</v>
      </c>
      <c r="Z59" s="1046">
        <v>0</v>
      </c>
      <c r="AA59" s="1046">
        <f t="shared" si="54"/>
        <v>395.6521739130435</v>
      </c>
      <c r="AB59" s="1046">
        <v>0</v>
      </c>
    </row>
    <row r="60" spans="1:28" ht="24" customHeight="1" thickTop="1" thickBot="1" x14ac:dyDescent="0.3">
      <c r="A60" s="561" t="s">
        <v>529</v>
      </c>
      <c r="B60" s="1048" t="s">
        <v>530</v>
      </c>
      <c r="C60" s="1045">
        <v>389527.48</v>
      </c>
      <c r="D60" s="1046">
        <v>0</v>
      </c>
      <c r="E60" s="1046">
        <f>C60/12</f>
        <v>32460.623333333333</v>
      </c>
      <c r="F60" s="1046">
        <v>0</v>
      </c>
      <c r="G60" s="1046">
        <f>C60/12</f>
        <v>32460.623333333333</v>
      </c>
      <c r="H60" s="1046">
        <v>0</v>
      </c>
      <c r="I60" s="1046">
        <f>C60/12</f>
        <v>32460.623333333333</v>
      </c>
      <c r="J60" s="1046">
        <v>0</v>
      </c>
      <c r="K60" s="1046">
        <f>C60/12</f>
        <v>32460.623333333333</v>
      </c>
      <c r="L60" s="1046">
        <v>0</v>
      </c>
      <c r="M60" s="1046">
        <f>C60/12</f>
        <v>32460.623333333333</v>
      </c>
      <c r="N60" s="1046">
        <v>0</v>
      </c>
      <c r="O60" s="1046">
        <f>$C60/12</f>
        <v>32460.623333333333</v>
      </c>
      <c r="P60" s="1046">
        <v>0</v>
      </c>
      <c r="Q60" s="1046">
        <f>$C60/12</f>
        <v>32460.623333333333</v>
      </c>
      <c r="R60" s="1046">
        <v>0</v>
      </c>
      <c r="S60" s="1046">
        <f>$C60/12</f>
        <v>32460.623333333333</v>
      </c>
      <c r="T60" s="1046">
        <v>0</v>
      </c>
      <c r="U60" s="1046">
        <f>$C60/12</f>
        <v>32460.623333333333</v>
      </c>
      <c r="V60" s="1046">
        <v>0</v>
      </c>
      <c r="W60" s="1046">
        <f>$C60/12</f>
        <v>32460.623333333333</v>
      </c>
      <c r="X60" s="1046">
        <v>0</v>
      </c>
      <c r="Y60" s="1046">
        <f>$C60/12</f>
        <v>32460.623333333333</v>
      </c>
      <c r="Z60" s="1046">
        <v>0</v>
      </c>
      <c r="AA60" s="1046">
        <f>$C60/12</f>
        <v>32460.623333333333</v>
      </c>
      <c r="AB60" s="1046">
        <v>0</v>
      </c>
    </row>
    <row r="61" spans="1:28" ht="24" customHeight="1" thickTop="1" thickBot="1" x14ac:dyDescent="0.3">
      <c r="A61" s="561" t="s">
        <v>531</v>
      </c>
      <c r="B61" s="1048" t="s">
        <v>532</v>
      </c>
      <c r="C61" s="1045">
        <v>0</v>
      </c>
      <c r="D61" s="1046">
        <v>0</v>
      </c>
      <c r="E61" s="1046">
        <f>($C61*$E$1)/$AC$1</f>
        <v>0</v>
      </c>
      <c r="F61" s="1046">
        <v>0</v>
      </c>
      <c r="G61" s="1046">
        <f>($C61*$G$1)/$AC$1</f>
        <v>0</v>
      </c>
      <c r="H61" s="1046">
        <v>0</v>
      </c>
      <c r="I61" s="1046">
        <f>($C61*$I$1)/$AC$1</f>
        <v>0</v>
      </c>
      <c r="J61" s="1046">
        <v>0</v>
      </c>
      <c r="K61" s="1046">
        <f>($C61*$K$1)/$AC$1</f>
        <v>0</v>
      </c>
      <c r="L61" s="1046">
        <v>0</v>
      </c>
      <c r="M61" s="1046">
        <f>($C61*$M$1)/$AC$1</f>
        <v>0</v>
      </c>
      <c r="N61" s="1046">
        <v>0</v>
      </c>
      <c r="O61" s="1046">
        <f>($C61*$O$1)/$AC$1</f>
        <v>0</v>
      </c>
      <c r="P61" s="1046">
        <v>0</v>
      </c>
      <c r="Q61" s="1046">
        <f>($C61*$Q$1)/$AC$1</f>
        <v>0</v>
      </c>
      <c r="R61" s="1046">
        <v>0</v>
      </c>
      <c r="S61" s="1046">
        <f>($C61*$S$1)/$AC$1</f>
        <v>0</v>
      </c>
      <c r="T61" s="1046">
        <v>0</v>
      </c>
      <c r="U61" s="1046">
        <f>($C61*$U$1)/$AC$1</f>
        <v>0</v>
      </c>
      <c r="V61" s="1046">
        <v>0</v>
      </c>
      <c r="W61" s="1046">
        <f>($C61*$W$1)/$AC$1</f>
        <v>0</v>
      </c>
      <c r="X61" s="1046">
        <v>0</v>
      </c>
      <c r="Y61" s="1046">
        <f>($C61*$Y$1)/$AC$1</f>
        <v>0</v>
      </c>
      <c r="Z61" s="1046">
        <v>0</v>
      </c>
      <c r="AA61" s="1046">
        <f>($C61*$AA$1)/$AC$1</f>
        <v>0</v>
      </c>
      <c r="AB61" s="1046">
        <v>0</v>
      </c>
    </row>
    <row r="62" spans="1:28" ht="24" customHeight="1" thickTop="1" thickBot="1" x14ac:dyDescent="0.3">
      <c r="A62" s="561" t="s">
        <v>533</v>
      </c>
      <c r="B62" s="1048" t="s">
        <v>534</v>
      </c>
      <c r="C62" s="1045">
        <v>110236.28</v>
      </c>
      <c r="D62" s="1046">
        <v>0</v>
      </c>
      <c r="E62" s="1046">
        <f>C62/12</f>
        <v>9186.3566666666666</v>
      </c>
      <c r="F62" s="1046">
        <v>0</v>
      </c>
      <c r="G62" s="1046">
        <f t="shared" ref="G62:G65" si="55">C62/12</f>
        <v>9186.3566666666666</v>
      </c>
      <c r="H62" s="1046">
        <v>0</v>
      </c>
      <c r="I62" s="1046">
        <f t="shared" ref="I62:I65" si="56">C62/12</f>
        <v>9186.3566666666666</v>
      </c>
      <c r="J62" s="1046">
        <v>0</v>
      </c>
      <c r="K62" s="1046">
        <f t="shared" ref="K62:K65" si="57">C62/12</f>
        <v>9186.3566666666666</v>
      </c>
      <c r="L62" s="1046">
        <v>0</v>
      </c>
      <c r="M62" s="1046">
        <f t="shared" ref="M62:M65" si="58">C62/12</f>
        <v>9186.3566666666666</v>
      </c>
      <c r="N62" s="1046">
        <v>0</v>
      </c>
      <c r="O62" s="1046">
        <f t="shared" ref="O62:AA65" si="59">$C62/12</f>
        <v>9186.3566666666666</v>
      </c>
      <c r="P62" s="1046">
        <v>0</v>
      </c>
      <c r="Q62" s="1046">
        <f t="shared" si="59"/>
        <v>9186.3566666666666</v>
      </c>
      <c r="R62" s="1046">
        <v>0</v>
      </c>
      <c r="S62" s="1046">
        <f t="shared" si="59"/>
        <v>9186.3566666666666</v>
      </c>
      <c r="T62" s="1046">
        <v>0</v>
      </c>
      <c r="U62" s="1046">
        <f t="shared" si="59"/>
        <v>9186.3566666666666</v>
      </c>
      <c r="V62" s="1046">
        <v>0</v>
      </c>
      <c r="W62" s="1046">
        <f t="shared" si="59"/>
        <v>9186.3566666666666</v>
      </c>
      <c r="X62" s="1046">
        <v>0</v>
      </c>
      <c r="Y62" s="1046">
        <f t="shared" si="59"/>
        <v>9186.3566666666666</v>
      </c>
      <c r="Z62" s="1046">
        <v>0</v>
      </c>
      <c r="AA62" s="1046">
        <f t="shared" si="59"/>
        <v>9186.3566666666666</v>
      </c>
      <c r="AB62" s="1046">
        <v>0</v>
      </c>
    </row>
    <row r="63" spans="1:28" ht="24" customHeight="1" thickTop="1" thickBot="1" x14ac:dyDescent="0.3">
      <c r="A63" s="561" t="s">
        <v>535</v>
      </c>
      <c r="B63" s="1048" t="s">
        <v>536</v>
      </c>
      <c r="C63" s="1045">
        <v>1250</v>
      </c>
      <c r="D63" s="1046">
        <v>0</v>
      </c>
      <c r="E63" s="1046">
        <f>($C63*$E$1)/$AC$1</f>
        <v>86.956521739130437</v>
      </c>
      <c r="F63" s="1046">
        <v>0</v>
      </c>
      <c r="G63" s="1046">
        <f t="shared" si="55"/>
        <v>104.16666666666667</v>
      </c>
      <c r="H63" s="1046">
        <v>0</v>
      </c>
      <c r="I63" s="1046">
        <f t="shared" si="56"/>
        <v>104.16666666666667</v>
      </c>
      <c r="J63" s="1046">
        <v>0</v>
      </c>
      <c r="K63" s="1046">
        <f t="shared" si="57"/>
        <v>104.16666666666667</v>
      </c>
      <c r="L63" s="1046">
        <v>0</v>
      </c>
      <c r="M63" s="1046">
        <f t="shared" si="58"/>
        <v>104.16666666666667</v>
      </c>
      <c r="N63" s="1046">
        <v>0</v>
      </c>
      <c r="O63" s="1046">
        <f t="shared" si="59"/>
        <v>104.16666666666667</v>
      </c>
      <c r="P63" s="1046">
        <v>0</v>
      </c>
      <c r="Q63" s="1046">
        <f t="shared" si="59"/>
        <v>104.16666666666667</v>
      </c>
      <c r="R63" s="1046">
        <v>0</v>
      </c>
      <c r="S63" s="1046">
        <f t="shared" si="59"/>
        <v>104.16666666666667</v>
      </c>
      <c r="T63" s="1046">
        <v>0</v>
      </c>
      <c r="U63" s="1046">
        <f t="shared" si="59"/>
        <v>104.16666666666667</v>
      </c>
      <c r="V63" s="1046">
        <v>0</v>
      </c>
      <c r="W63" s="1046">
        <f t="shared" si="59"/>
        <v>104.16666666666667</v>
      </c>
      <c r="X63" s="1046">
        <v>0</v>
      </c>
      <c r="Y63" s="1046">
        <f t="shared" si="59"/>
        <v>104.16666666666667</v>
      </c>
      <c r="Z63" s="1046">
        <v>0</v>
      </c>
      <c r="AA63" s="1046">
        <f t="shared" si="59"/>
        <v>104.16666666666667</v>
      </c>
      <c r="AB63" s="1046">
        <v>0</v>
      </c>
    </row>
    <row r="64" spans="1:28" ht="24" customHeight="1" thickTop="1" thickBot="1" x14ac:dyDescent="0.3">
      <c r="A64" s="561" t="s">
        <v>537</v>
      </c>
      <c r="B64" s="1048" t="s">
        <v>726</v>
      </c>
      <c r="C64" s="1045">
        <v>0</v>
      </c>
      <c r="D64" s="1046">
        <v>0</v>
      </c>
      <c r="E64" s="1046">
        <f>C64/12</f>
        <v>0</v>
      </c>
      <c r="F64" s="1046">
        <v>0</v>
      </c>
      <c r="G64" s="1046">
        <f t="shared" si="55"/>
        <v>0</v>
      </c>
      <c r="H64" s="1046">
        <v>0</v>
      </c>
      <c r="I64" s="1046">
        <f t="shared" si="56"/>
        <v>0</v>
      </c>
      <c r="J64" s="1046">
        <v>0</v>
      </c>
      <c r="K64" s="1046">
        <f t="shared" si="57"/>
        <v>0</v>
      </c>
      <c r="L64" s="1046">
        <v>0</v>
      </c>
      <c r="M64" s="1046">
        <f t="shared" si="58"/>
        <v>0</v>
      </c>
      <c r="N64" s="1046">
        <v>0</v>
      </c>
      <c r="O64" s="1046">
        <f t="shared" si="59"/>
        <v>0</v>
      </c>
      <c r="P64" s="1046">
        <v>0</v>
      </c>
      <c r="Q64" s="1046">
        <f t="shared" si="59"/>
        <v>0</v>
      </c>
      <c r="R64" s="1046">
        <v>0</v>
      </c>
      <c r="S64" s="1046">
        <f t="shared" si="59"/>
        <v>0</v>
      </c>
      <c r="T64" s="1046">
        <v>0</v>
      </c>
      <c r="U64" s="1046">
        <f t="shared" si="59"/>
        <v>0</v>
      </c>
      <c r="V64" s="1046">
        <v>0</v>
      </c>
      <c r="W64" s="1046">
        <f t="shared" si="59"/>
        <v>0</v>
      </c>
      <c r="X64" s="1046">
        <v>0</v>
      </c>
      <c r="Y64" s="1046">
        <f t="shared" si="59"/>
        <v>0</v>
      </c>
      <c r="Z64" s="1046">
        <v>0</v>
      </c>
      <c r="AA64" s="1046">
        <f t="shared" si="59"/>
        <v>0</v>
      </c>
      <c r="AB64" s="1046">
        <v>0</v>
      </c>
    </row>
    <row r="65" spans="1:28" ht="24" customHeight="1" thickTop="1" thickBot="1" x14ac:dyDescent="0.3">
      <c r="A65" s="561" t="s">
        <v>538</v>
      </c>
      <c r="B65" s="1048" t="s">
        <v>539</v>
      </c>
      <c r="C65" s="1045">
        <v>1813.26</v>
      </c>
      <c r="D65" s="1046">
        <v>0</v>
      </c>
      <c r="E65" s="1046">
        <f t="shared" ref="E65:E66" si="60">($C65*$E$1)/$AC$1</f>
        <v>126.13982608695652</v>
      </c>
      <c r="F65" s="1046">
        <v>0</v>
      </c>
      <c r="G65" s="1046">
        <f t="shared" si="55"/>
        <v>151.10499999999999</v>
      </c>
      <c r="H65" s="1046">
        <v>0</v>
      </c>
      <c r="I65" s="1046">
        <f t="shared" si="56"/>
        <v>151.10499999999999</v>
      </c>
      <c r="J65" s="1046">
        <v>0</v>
      </c>
      <c r="K65" s="1046">
        <f t="shared" si="57"/>
        <v>151.10499999999999</v>
      </c>
      <c r="L65" s="1046">
        <v>0</v>
      </c>
      <c r="M65" s="1046">
        <f t="shared" si="58"/>
        <v>151.10499999999999</v>
      </c>
      <c r="N65" s="1046">
        <v>0</v>
      </c>
      <c r="O65" s="1046">
        <f t="shared" si="59"/>
        <v>151.10499999999999</v>
      </c>
      <c r="P65" s="1046">
        <v>0</v>
      </c>
      <c r="Q65" s="1046">
        <f t="shared" si="59"/>
        <v>151.10499999999999</v>
      </c>
      <c r="R65" s="1046">
        <v>0</v>
      </c>
      <c r="S65" s="1046">
        <f t="shared" si="59"/>
        <v>151.10499999999999</v>
      </c>
      <c r="T65" s="1046">
        <v>0</v>
      </c>
      <c r="U65" s="1046">
        <f t="shared" si="59"/>
        <v>151.10499999999999</v>
      </c>
      <c r="V65" s="1046">
        <v>0</v>
      </c>
      <c r="W65" s="1046">
        <f t="shared" si="59"/>
        <v>151.10499999999999</v>
      </c>
      <c r="X65" s="1046">
        <v>0</v>
      </c>
      <c r="Y65" s="1046">
        <f t="shared" si="59"/>
        <v>151.10499999999999</v>
      </c>
      <c r="Z65" s="1046">
        <v>0</v>
      </c>
      <c r="AA65" s="1046">
        <f t="shared" si="59"/>
        <v>151.10499999999999</v>
      </c>
      <c r="AB65" s="1046">
        <v>0</v>
      </c>
    </row>
    <row r="66" spans="1:28" ht="24" customHeight="1" thickTop="1" thickBot="1" x14ac:dyDescent="0.3">
      <c r="A66" s="561" t="s">
        <v>540</v>
      </c>
      <c r="B66" s="1048" t="s">
        <v>541</v>
      </c>
      <c r="C66" s="1045">
        <v>1500</v>
      </c>
      <c r="D66" s="1046">
        <v>0</v>
      </c>
      <c r="E66" s="1046">
        <f t="shared" si="60"/>
        <v>104.34782608695652</v>
      </c>
      <c r="F66" s="1046">
        <v>0</v>
      </c>
      <c r="G66" s="1046">
        <f t="shared" ref="G66" si="61">($C66*$G$1)/$AC$1</f>
        <v>123.91304347826087</v>
      </c>
      <c r="H66" s="1046">
        <v>0</v>
      </c>
      <c r="I66" s="1046">
        <f t="shared" ref="I66" si="62">($C66*$I$1)/$AC$1</f>
        <v>150</v>
      </c>
      <c r="J66" s="1046">
        <v>0</v>
      </c>
      <c r="K66" s="1046">
        <f t="shared" ref="K66" si="63">($C66*$K$1)/$AC$1</f>
        <v>123.91304347826087</v>
      </c>
      <c r="L66" s="1046">
        <v>0</v>
      </c>
      <c r="M66" s="1046">
        <f t="shared" ref="M66" si="64">($C66*$M$1)/$AC$1</f>
        <v>136.95652173913044</v>
      </c>
      <c r="N66" s="1046">
        <v>0</v>
      </c>
      <c r="O66" s="1046">
        <f t="shared" ref="O66" si="65">($C66*$O$1)/$AC$1</f>
        <v>143.47826086956522</v>
      </c>
      <c r="P66" s="1046">
        <v>0</v>
      </c>
      <c r="Q66" s="1046">
        <f t="shared" ref="Q66" si="66">($C66*$Q$1)/$AC$1</f>
        <v>136.95652173913044</v>
      </c>
      <c r="R66" s="1046">
        <v>0</v>
      </c>
      <c r="S66" s="1046">
        <f t="shared" ref="S66" si="67">($C66*$S$1)/$AC$1</f>
        <v>78.260869565217391</v>
      </c>
      <c r="T66" s="1046">
        <v>0</v>
      </c>
      <c r="U66" s="1046">
        <f t="shared" ref="U66" si="68">($C66*$U$1)/$AC$1</f>
        <v>143.47826086956522</v>
      </c>
      <c r="V66" s="1046">
        <v>0</v>
      </c>
      <c r="W66" s="1046">
        <f t="shared" ref="W66" si="69">($C66*$W$1)/$AC$1</f>
        <v>130.43478260869566</v>
      </c>
      <c r="X66" s="1046">
        <v>0</v>
      </c>
      <c r="Y66" s="1046">
        <f t="shared" ref="Y66" si="70">($C66*$Y$1)/$AC$1</f>
        <v>136.95652173913044</v>
      </c>
      <c r="Z66" s="1046">
        <v>0</v>
      </c>
      <c r="AA66" s="1046">
        <f t="shared" ref="AA66" si="71">($C66*$AA$1)/$AC$1</f>
        <v>91.304347826086953</v>
      </c>
      <c r="AB66" s="1046">
        <v>0</v>
      </c>
    </row>
    <row r="67" spans="1:28" ht="24" customHeight="1" thickTop="1" thickBot="1" x14ac:dyDescent="0.3">
      <c r="A67" s="1047">
        <v>6500000</v>
      </c>
      <c r="B67" s="1048" t="s">
        <v>743</v>
      </c>
      <c r="C67" s="1045">
        <v>2000</v>
      </c>
      <c r="D67" s="1046">
        <v>0</v>
      </c>
      <c r="E67" s="1046">
        <f t="shared" ref="E67" si="72">C67/12</f>
        <v>166.66666666666666</v>
      </c>
      <c r="F67" s="1046">
        <v>0</v>
      </c>
      <c r="G67" s="1046">
        <f t="shared" ref="G67" si="73">C67/12</f>
        <v>166.66666666666666</v>
      </c>
      <c r="H67" s="1046">
        <v>0</v>
      </c>
      <c r="I67" s="1046">
        <f t="shared" ref="I67" si="74">C67/12</f>
        <v>166.66666666666666</v>
      </c>
      <c r="J67" s="1046">
        <v>0</v>
      </c>
      <c r="K67" s="1046">
        <f t="shared" ref="K67" si="75">C67/12</f>
        <v>166.66666666666666</v>
      </c>
      <c r="L67" s="1046">
        <v>0</v>
      </c>
      <c r="M67" s="1046">
        <f t="shared" ref="M67" si="76">C67/12</f>
        <v>166.66666666666666</v>
      </c>
      <c r="N67" s="1046">
        <v>0</v>
      </c>
      <c r="O67" s="1046">
        <f t="shared" ref="O67:AA69" si="77">$C67/12</f>
        <v>166.66666666666666</v>
      </c>
      <c r="P67" s="1046">
        <v>0</v>
      </c>
      <c r="Q67" s="1046">
        <f t="shared" si="77"/>
        <v>166.66666666666666</v>
      </c>
      <c r="R67" s="1046">
        <v>0</v>
      </c>
      <c r="S67" s="1046">
        <f t="shared" si="77"/>
        <v>166.66666666666666</v>
      </c>
      <c r="T67" s="1046">
        <v>0</v>
      </c>
      <c r="U67" s="1046">
        <f t="shared" si="77"/>
        <v>166.66666666666666</v>
      </c>
      <c r="V67" s="1046">
        <v>0</v>
      </c>
      <c r="W67" s="1046">
        <f t="shared" si="77"/>
        <v>166.66666666666666</v>
      </c>
      <c r="X67" s="1046">
        <v>0</v>
      </c>
      <c r="Y67" s="1046">
        <f t="shared" si="77"/>
        <v>166.66666666666666</v>
      </c>
      <c r="Z67" s="1046">
        <v>0</v>
      </c>
      <c r="AA67" s="1046">
        <f t="shared" si="77"/>
        <v>166.66666666666666</v>
      </c>
      <c r="AB67" s="1046">
        <v>0</v>
      </c>
    </row>
    <row r="68" spans="1:28" ht="24" customHeight="1" thickTop="1" thickBot="1" x14ac:dyDescent="0.3">
      <c r="A68" s="1047">
        <v>6622000</v>
      </c>
      <c r="B68" s="1048" t="s">
        <v>744</v>
      </c>
      <c r="C68" s="1045">
        <v>48254.16</v>
      </c>
      <c r="D68" s="1046">
        <v>0</v>
      </c>
      <c r="E68" s="1046">
        <f t="shared" ref="E68:E69" si="78">C68/12</f>
        <v>4021.1800000000003</v>
      </c>
      <c r="F68" s="1046">
        <v>0</v>
      </c>
      <c r="G68" s="1046">
        <f t="shared" ref="G68:G69" si="79">C68/12</f>
        <v>4021.1800000000003</v>
      </c>
      <c r="H68" s="1046">
        <v>0</v>
      </c>
      <c r="I68" s="1046">
        <f t="shared" ref="I68:I69" si="80">C68/12</f>
        <v>4021.1800000000003</v>
      </c>
      <c r="J68" s="1046">
        <v>0</v>
      </c>
      <c r="K68" s="1046">
        <f t="shared" ref="K68:K69" si="81">C68/12</f>
        <v>4021.1800000000003</v>
      </c>
      <c r="L68" s="1046">
        <v>0</v>
      </c>
      <c r="M68" s="1046">
        <f t="shared" ref="M68:M69" si="82">C68/12</f>
        <v>4021.1800000000003</v>
      </c>
      <c r="N68" s="1046">
        <v>0</v>
      </c>
      <c r="O68" s="1046">
        <f t="shared" si="77"/>
        <v>4021.1800000000003</v>
      </c>
      <c r="P68" s="1046">
        <v>0</v>
      </c>
      <c r="Q68" s="1046">
        <f t="shared" si="77"/>
        <v>4021.1800000000003</v>
      </c>
      <c r="R68" s="1046">
        <v>0</v>
      </c>
      <c r="S68" s="1046">
        <f t="shared" si="77"/>
        <v>4021.1800000000003</v>
      </c>
      <c r="T68" s="1046">
        <v>0</v>
      </c>
      <c r="U68" s="1046">
        <f t="shared" si="77"/>
        <v>4021.1800000000003</v>
      </c>
      <c r="V68" s="1046">
        <v>0</v>
      </c>
      <c r="W68" s="1046">
        <f t="shared" si="77"/>
        <v>4021.1800000000003</v>
      </c>
      <c r="X68" s="1046">
        <v>0</v>
      </c>
      <c r="Y68" s="1046">
        <f t="shared" si="77"/>
        <v>4021.1800000000003</v>
      </c>
      <c r="Z68" s="1046">
        <v>0</v>
      </c>
      <c r="AA68" s="1046">
        <f t="shared" si="77"/>
        <v>4021.1800000000003</v>
      </c>
      <c r="AB68" s="1046">
        <v>0</v>
      </c>
    </row>
    <row r="69" spans="1:28" ht="24" customHeight="1" thickTop="1" thickBot="1" x14ac:dyDescent="0.3">
      <c r="A69" s="1047">
        <v>6622001</v>
      </c>
      <c r="B69" s="1048" t="s">
        <v>745</v>
      </c>
      <c r="C69" s="1045">
        <v>24330.57</v>
      </c>
      <c r="D69" s="1046">
        <v>0</v>
      </c>
      <c r="E69" s="1046">
        <f t="shared" si="78"/>
        <v>2027.5474999999999</v>
      </c>
      <c r="F69" s="1046">
        <v>0</v>
      </c>
      <c r="G69" s="1046">
        <f t="shared" si="79"/>
        <v>2027.5474999999999</v>
      </c>
      <c r="H69" s="1046">
        <v>0</v>
      </c>
      <c r="I69" s="1046">
        <f t="shared" si="80"/>
        <v>2027.5474999999999</v>
      </c>
      <c r="J69" s="1046">
        <v>0</v>
      </c>
      <c r="K69" s="1046">
        <f t="shared" si="81"/>
        <v>2027.5474999999999</v>
      </c>
      <c r="L69" s="1046">
        <v>0</v>
      </c>
      <c r="M69" s="1046">
        <f t="shared" si="82"/>
        <v>2027.5474999999999</v>
      </c>
      <c r="N69" s="1046">
        <v>0</v>
      </c>
      <c r="O69" s="1046">
        <f t="shared" si="77"/>
        <v>2027.5474999999999</v>
      </c>
      <c r="P69" s="1046">
        <v>0</v>
      </c>
      <c r="Q69" s="1046">
        <f t="shared" si="77"/>
        <v>2027.5474999999999</v>
      </c>
      <c r="R69" s="1046">
        <v>0</v>
      </c>
      <c r="S69" s="1046">
        <f t="shared" si="77"/>
        <v>2027.5474999999999</v>
      </c>
      <c r="T69" s="1046">
        <v>0</v>
      </c>
      <c r="U69" s="1046">
        <f t="shared" si="77"/>
        <v>2027.5474999999999</v>
      </c>
      <c r="V69" s="1046">
        <v>0</v>
      </c>
      <c r="W69" s="1046">
        <f t="shared" si="77"/>
        <v>2027.5474999999999</v>
      </c>
      <c r="X69" s="1046">
        <v>0</v>
      </c>
      <c r="Y69" s="1046">
        <f t="shared" si="77"/>
        <v>2027.5474999999999</v>
      </c>
      <c r="Z69" s="1046">
        <v>0</v>
      </c>
      <c r="AA69" s="1046">
        <f t="shared" si="77"/>
        <v>2027.5474999999999</v>
      </c>
      <c r="AB69" s="1046">
        <v>0</v>
      </c>
    </row>
    <row r="70" spans="1:28" ht="24" customHeight="1" thickTop="1" thickBot="1" x14ac:dyDescent="0.3">
      <c r="A70" s="561" t="s">
        <v>542</v>
      </c>
      <c r="B70" s="561" t="s">
        <v>543</v>
      </c>
      <c r="C70" s="1045">
        <v>5</v>
      </c>
      <c r="D70" s="1046">
        <v>0</v>
      </c>
      <c r="E70" s="1046">
        <f>($C70*$E$1)/$AC$1</f>
        <v>0.34782608695652173</v>
      </c>
      <c r="F70" s="1046">
        <v>0</v>
      </c>
      <c r="G70" s="1046">
        <f>($C70*$G$1)/$AC$1</f>
        <v>0.41304347826086957</v>
      </c>
      <c r="H70" s="1046">
        <v>0</v>
      </c>
      <c r="I70" s="1046">
        <f>($C70*$I$1)/$AC$1</f>
        <v>0.5</v>
      </c>
      <c r="J70" s="1046">
        <v>0</v>
      </c>
      <c r="K70" s="1046">
        <f>($C70*$K$1)/$AC$1</f>
        <v>0.41304347826086957</v>
      </c>
      <c r="L70" s="1046">
        <v>0</v>
      </c>
      <c r="M70" s="1046">
        <f>($C70*$M$1)/$AC$1</f>
        <v>0.45652173913043476</v>
      </c>
      <c r="N70" s="1046">
        <v>0</v>
      </c>
      <c r="O70" s="1046">
        <f>($C70*$O$1)/$AC$1</f>
        <v>0.47826086956521741</v>
      </c>
      <c r="P70" s="1046">
        <v>0</v>
      </c>
      <c r="Q70" s="1046">
        <f>($C70*$Q$1)/$AC$1</f>
        <v>0.45652173913043476</v>
      </c>
      <c r="R70" s="1046">
        <v>0</v>
      </c>
      <c r="S70" s="1046">
        <f>($C70*$S$1)/$AC$1</f>
        <v>0.2608695652173913</v>
      </c>
      <c r="T70" s="1046">
        <v>0</v>
      </c>
      <c r="U70" s="1046">
        <f>($C70*$U$1)/$AC$1</f>
        <v>0.47826086956521741</v>
      </c>
      <c r="V70" s="1046">
        <v>0</v>
      </c>
      <c r="W70" s="1046">
        <f>($C70*$W$1)/$AC$1</f>
        <v>0.43478260869565216</v>
      </c>
      <c r="X70" s="1046">
        <v>0</v>
      </c>
      <c r="Y70" s="1046">
        <f>($C70*$Y$1)/$AC$1</f>
        <v>0.45652173913043476</v>
      </c>
      <c r="Z70" s="1046">
        <v>0</v>
      </c>
      <c r="AA70" s="1046">
        <f>($C70*$AA$1)/$AC$1</f>
        <v>0.30434782608695654</v>
      </c>
      <c r="AB70" s="1046">
        <v>0</v>
      </c>
    </row>
    <row r="71" spans="1:28" ht="24" customHeight="1" thickTop="1" thickBot="1" x14ac:dyDescent="0.3">
      <c r="A71" s="561" t="s">
        <v>544</v>
      </c>
      <c r="B71" s="561" t="s">
        <v>545</v>
      </c>
      <c r="C71" s="1045">
        <v>0</v>
      </c>
      <c r="D71" s="1046">
        <v>0</v>
      </c>
      <c r="E71" s="1046">
        <f>($C71*$E$1)/$AC$1</f>
        <v>0</v>
      </c>
      <c r="F71" s="1046">
        <v>0</v>
      </c>
      <c r="G71" s="1046">
        <f>($C71*$G$1)/$AC$1</f>
        <v>0</v>
      </c>
      <c r="H71" s="1046">
        <v>0</v>
      </c>
      <c r="I71" s="1046">
        <f>($C71*$I$1)/$AC$1</f>
        <v>0</v>
      </c>
      <c r="J71" s="1046">
        <v>0</v>
      </c>
      <c r="K71" s="1046">
        <f>($C71*$K$1)/$AC$1</f>
        <v>0</v>
      </c>
      <c r="L71" s="1046">
        <v>0</v>
      </c>
      <c r="M71" s="1046">
        <f>($C71*$M$1)/$AC$1</f>
        <v>0</v>
      </c>
      <c r="N71" s="1046">
        <v>0</v>
      </c>
      <c r="O71" s="1046">
        <f>($C71*$O$1)/$AC$1</f>
        <v>0</v>
      </c>
      <c r="P71" s="1046">
        <v>0</v>
      </c>
      <c r="Q71" s="1046">
        <f>($C71*$Q$1)/$AC$1</f>
        <v>0</v>
      </c>
      <c r="R71" s="1046">
        <v>0</v>
      </c>
      <c r="S71" s="1046">
        <f>($C71*$S$1)/$AC$1</f>
        <v>0</v>
      </c>
      <c r="T71" s="1046">
        <v>0</v>
      </c>
      <c r="U71" s="1046">
        <f>($C71*$U$1)/$AC$1</f>
        <v>0</v>
      </c>
      <c r="V71" s="1046">
        <v>0</v>
      </c>
      <c r="W71" s="1046">
        <f>($C71*$W$1)/$AC$1</f>
        <v>0</v>
      </c>
      <c r="X71" s="1046">
        <v>0</v>
      </c>
      <c r="Y71" s="1046">
        <f>($C71*$Y$1)/$AC$1</f>
        <v>0</v>
      </c>
      <c r="Z71" s="1046">
        <v>0</v>
      </c>
      <c r="AA71" s="1046">
        <f>($C71*$AA$1)/$AC$1</f>
        <v>0</v>
      </c>
      <c r="AB71" s="1046">
        <v>0</v>
      </c>
    </row>
    <row r="72" spans="1:28" ht="24" customHeight="1" thickTop="1" thickBot="1" x14ac:dyDescent="0.3">
      <c r="A72" s="561" t="s">
        <v>546</v>
      </c>
      <c r="B72" s="561" t="s">
        <v>547</v>
      </c>
      <c r="C72" s="1045">
        <v>7004.46</v>
      </c>
      <c r="D72" s="1046">
        <v>0</v>
      </c>
      <c r="E72" s="1046">
        <f>($C72*$E$1)/$AC$1</f>
        <v>487.26678260869568</v>
      </c>
      <c r="F72" s="1046">
        <v>0</v>
      </c>
      <c r="G72" s="1046">
        <f>($C72*$G$1)/$AC$1</f>
        <v>578.62930434782606</v>
      </c>
      <c r="H72" s="1046">
        <v>0</v>
      </c>
      <c r="I72" s="1046">
        <f>($C72*$I$1)/$AC$1</f>
        <v>700.44599999999991</v>
      </c>
      <c r="J72" s="1046">
        <v>0</v>
      </c>
      <c r="K72" s="1046">
        <f>($C72*$K$1)/$AC$1</f>
        <v>578.62930434782606</v>
      </c>
      <c r="L72" s="1046">
        <v>0</v>
      </c>
      <c r="M72" s="1046">
        <f>($C72*$M$1)/$AC$1</f>
        <v>639.5376521739131</v>
      </c>
      <c r="N72" s="1046">
        <v>0</v>
      </c>
      <c r="O72" s="1046">
        <f>($C72*$O$1)/$AC$1</f>
        <v>669.99182608695651</v>
      </c>
      <c r="P72" s="1046">
        <v>0</v>
      </c>
      <c r="Q72" s="1046">
        <f>($C72*$Q$1)/$AC$1</f>
        <v>639.5376521739131</v>
      </c>
      <c r="R72" s="1046">
        <v>0</v>
      </c>
      <c r="S72" s="1046">
        <f>($C72*$S$1)/$AC$1</f>
        <v>365.45008695652177</v>
      </c>
      <c r="T72" s="1046">
        <v>0</v>
      </c>
      <c r="U72" s="1046">
        <f>($C72*$U$1)/$AC$1</f>
        <v>669.99182608695651</v>
      </c>
      <c r="V72" s="1046">
        <v>0</v>
      </c>
      <c r="W72" s="1046">
        <f>($C72*$W$1)/$AC$1</f>
        <v>609.08347826086958</v>
      </c>
      <c r="X72" s="1046">
        <v>0</v>
      </c>
      <c r="Y72" s="1046">
        <f>($C72*$Y$1)/$AC$1</f>
        <v>639.5376521739131</v>
      </c>
      <c r="Z72" s="1046">
        <v>0</v>
      </c>
      <c r="AA72" s="1046">
        <f>($C72*$AA$1)/$AC$1</f>
        <v>426.3584347826087</v>
      </c>
      <c r="AB72" s="1046">
        <v>0</v>
      </c>
    </row>
    <row r="73" spans="1:28" ht="24" customHeight="1" thickTop="1" thickBot="1" x14ac:dyDescent="0.3">
      <c r="A73" s="561" t="s">
        <v>548</v>
      </c>
      <c r="B73" s="561" t="s">
        <v>549</v>
      </c>
      <c r="C73" s="1045">
        <v>0</v>
      </c>
      <c r="D73" s="1046">
        <v>0</v>
      </c>
      <c r="E73" s="1046">
        <f>($C73*$E$1)/$AC$1</f>
        <v>0</v>
      </c>
      <c r="F73" s="1046">
        <v>0</v>
      </c>
      <c r="G73" s="1046">
        <f>($C73*$G$1)/$AC$1</f>
        <v>0</v>
      </c>
      <c r="H73" s="1046">
        <v>0</v>
      </c>
      <c r="I73" s="1046">
        <f>($C73*$I$1)/$AC$1</f>
        <v>0</v>
      </c>
      <c r="J73" s="1046">
        <v>0</v>
      </c>
      <c r="K73" s="1046">
        <f>($C73*$K$1)/$AC$1</f>
        <v>0</v>
      </c>
      <c r="L73" s="1046">
        <v>0</v>
      </c>
      <c r="M73" s="1046">
        <f>($C73*$M$1)/$AC$1</f>
        <v>0</v>
      </c>
      <c r="N73" s="1046">
        <v>0</v>
      </c>
      <c r="O73" s="1046">
        <f>($C73*$O$1)/$AC$1</f>
        <v>0</v>
      </c>
      <c r="P73" s="1046">
        <v>0</v>
      </c>
      <c r="Q73" s="1046">
        <f>($C73*$Q$1)/$AC$1</f>
        <v>0</v>
      </c>
      <c r="R73" s="1046">
        <v>0</v>
      </c>
      <c r="S73" s="1046">
        <f>($C73*$S$1)/$AC$1</f>
        <v>0</v>
      </c>
      <c r="T73" s="1046">
        <v>0</v>
      </c>
      <c r="U73" s="1046">
        <f>($C73*$U$1)/$AC$1</f>
        <v>0</v>
      </c>
      <c r="V73" s="1046">
        <v>0</v>
      </c>
      <c r="W73" s="1046">
        <f>($C73*$W$1)/$AC$1</f>
        <v>0</v>
      </c>
      <c r="X73" s="1046">
        <v>0</v>
      </c>
      <c r="Y73" s="1046">
        <f>($C73*$Y$1)/$AC$1</f>
        <v>0</v>
      </c>
      <c r="Z73" s="1046">
        <v>0</v>
      </c>
      <c r="AA73" s="1046">
        <f>($C73*$AA$1)/$AC$1</f>
        <v>0</v>
      </c>
      <c r="AB73" s="1046">
        <v>0</v>
      </c>
    </row>
    <row r="74" spans="1:28" ht="24" customHeight="1" thickTop="1" thickBot="1" x14ac:dyDescent="0.3">
      <c r="A74" s="561" t="s">
        <v>550</v>
      </c>
      <c r="B74" s="1048" t="s">
        <v>551</v>
      </c>
      <c r="C74" s="1045">
        <v>4567.5</v>
      </c>
      <c r="D74" s="1046">
        <v>0</v>
      </c>
      <c r="E74" s="1046">
        <f>$C74/11</f>
        <v>415.22727272727275</v>
      </c>
      <c r="F74" s="1046">
        <v>0</v>
      </c>
      <c r="G74" s="1046">
        <f>C74/11</f>
        <v>415.22727272727275</v>
      </c>
      <c r="H74" s="1046">
        <v>0</v>
      </c>
      <c r="I74" s="1046">
        <f>C74/11</f>
        <v>415.22727272727275</v>
      </c>
      <c r="J74" s="1046">
        <v>0</v>
      </c>
      <c r="K74" s="1046">
        <f>C74/11</f>
        <v>415.22727272727275</v>
      </c>
      <c r="L74" s="1046">
        <v>0</v>
      </c>
      <c r="M74" s="1046">
        <f>C74/11</f>
        <v>415.22727272727275</v>
      </c>
      <c r="N74" s="1046">
        <v>0</v>
      </c>
      <c r="O74" s="1046">
        <f>$C74/11</f>
        <v>415.22727272727275</v>
      </c>
      <c r="P74" s="1046">
        <v>0</v>
      </c>
      <c r="Q74" s="1046">
        <f>$C74/11</f>
        <v>415.22727272727275</v>
      </c>
      <c r="R74" s="1046">
        <v>0</v>
      </c>
      <c r="S74" s="1046">
        <f>($C74/11)/2</f>
        <v>207.61363636363637</v>
      </c>
      <c r="T74" s="1046">
        <v>0</v>
      </c>
      <c r="U74" s="1046">
        <f>$C74/11</f>
        <v>415.22727272727275</v>
      </c>
      <c r="V74" s="1046">
        <v>0</v>
      </c>
      <c r="W74" s="1046">
        <f>$C74/11</f>
        <v>415.22727272727275</v>
      </c>
      <c r="X74" s="1046">
        <v>0</v>
      </c>
      <c r="Y74" s="1046">
        <f>$C74/11</f>
        <v>415.22727272727275</v>
      </c>
      <c r="Z74" s="1046">
        <v>0</v>
      </c>
      <c r="AA74" s="1046">
        <f>($C74/11)/2</f>
        <v>207.61363636363637</v>
      </c>
      <c r="AB74" s="1046">
        <v>0</v>
      </c>
    </row>
    <row r="75" spans="1:28" ht="24" customHeight="1" thickTop="1" thickBot="1" x14ac:dyDescent="0.3">
      <c r="A75" s="561" t="s">
        <v>552</v>
      </c>
      <c r="B75" s="1048" t="s">
        <v>553</v>
      </c>
      <c r="C75" s="1045">
        <v>128871.71</v>
      </c>
      <c r="D75" s="1046">
        <v>0</v>
      </c>
      <c r="E75" s="1046">
        <f t="shared" ref="E75:E81" si="83">$C75/11</f>
        <v>11715.61</v>
      </c>
      <c r="F75" s="1046">
        <v>0</v>
      </c>
      <c r="G75" s="1046">
        <f t="shared" ref="G75:G81" si="84">C75/11</f>
        <v>11715.61</v>
      </c>
      <c r="H75" s="1046">
        <v>0</v>
      </c>
      <c r="I75" s="1046">
        <f t="shared" ref="I75:I81" si="85">C75/11</f>
        <v>11715.61</v>
      </c>
      <c r="J75" s="1046">
        <v>0</v>
      </c>
      <c r="K75" s="1046">
        <f t="shared" ref="K75:K81" si="86">C75/11</f>
        <v>11715.61</v>
      </c>
      <c r="L75" s="1046">
        <v>0</v>
      </c>
      <c r="M75" s="1046">
        <f t="shared" ref="M75:M81" si="87">C75/11</f>
        <v>11715.61</v>
      </c>
      <c r="N75" s="1046">
        <v>0</v>
      </c>
      <c r="O75" s="1046">
        <f t="shared" ref="O75:Y81" si="88">$C75/11</f>
        <v>11715.61</v>
      </c>
      <c r="P75" s="1046">
        <v>0</v>
      </c>
      <c r="Q75" s="1046">
        <f t="shared" si="88"/>
        <v>11715.61</v>
      </c>
      <c r="R75" s="1046">
        <v>0</v>
      </c>
      <c r="S75" s="1046">
        <f t="shared" ref="S75:S81" si="89">($C75/11)/2</f>
        <v>5857.8050000000003</v>
      </c>
      <c r="T75" s="1046">
        <v>0</v>
      </c>
      <c r="U75" s="1046">
        <f t="shared" si="88"/>
        <v>11715.61</v>
      </c>
      <c r="V75" s="1046">
        <v>0</v>
      </c>
      <c r="W75" s="1046">
        <f t="shared" si="88"/>
        <v>11715.61</v>
      </c>
      <c r="X75" s="1046">
        <v>0</v>
      </c>
      <c r="Y75" s="1046">
        <f t="shared" si="88"/>
        <v>11715.61</v>
      </c>
      <c r="Z75" s="1046">
        <v>0</v>
      </c>
      <c r="AA75" s="1046">
        <f t="shared" ref="AA75:AA81" si="90">($C75/11)/2</f>
        <v>5857.8050000000003</v>
      </c>
      <c r="AB75" s="1046">
        <v>0</v>
      </c>
    </row>
    <row r="76" spans="1:28" ht="24" customHeight="1" thickTop="1" thickBot="1" x14ac:dyDescent="0.3">
      <c r="A76" s="561" t="s">
        <v>554</v>
      </c>
      <c r="B76" s="1048" t="s">
        <v>555</v>
      </c>
      <c r="C76" s="1045">
        <v>6960.88</v>
      </c>
      <c r="D76" s="1046">
        <v>0</v>
      </c>
      <c r="E76" s="1046">
        <f t="shared" si="83"/>
        <v>632.80727272727279</v>
      </c>
      <c r="F76" s="1046">
        <v>0</v>
      </c>
      <c r="G76" s="1046">
        <f t="shared" si="84"/>
        <v>632.80727272727279</v>
      </c>
      <c r="H76" s="1046">
        <v>0</v>
      </c>
      <c r="I76" s="1046">
        <f t="shared" si="85"/>
        <v>632.80727272727279</v>
      </c>
      <c r="J76" s="1046">
        <v>0</v>
      </c>
      <c r="K76" s="1046">
        <f t="shared" si="86"/>
        <v>632.80727272727279</v>
      </c>
      <c r="L76" s="1046">
        <v>0</v>
      </c>
      <c r="M76" s="1046">
        <f t="shared" si="87"/>
        <v>632.80727272727279</v>
      </c>
      <c r="N76" s="1046">
        <v>0</v>
      </c>
      <c r="O76" s="1046">
        <f t="shared" si="88"/>
        <v>632.80727272727279</v>
      </c>
      <c r="P76" s="1046">
        <v>0</v>
      </c>
      <c r="Q76" s="1046">
        <f t="shared" si="88"/>
        <v>632.80727272727279</v>
      </c>
      <c r="R76" s="1046">
        <v>0</v>
      </c>
      <c r="S76" s="1046">
        <f t="shared" si="89"/>
        <v>316.40363636363639</v>
      </c>
      <c r="T76" s="1046">
        <v>0</v>
      </c>
      <c r="U76" s="1046">
        <f t="shared" si="88"/>
        <v>632.80727272727279</v>
      </c>
      <c r="V76" s="1046">
        <v>0</v>
      </c>
      <c r="W76" s="1046">
        <f t="shared" si="88"/>
        <v>632.80727272727279</v>
      </c>
      <c r="X76" s="1046">
        <v>0</v>
      </c>
      <c r="Y76" s="1046">
        <f t="shared" si="88"/>
        <v>632.80727272727279</v>
      </c>
      <c r="Z76" s="1046">
        <v>0</v>
      </c>
      <c r="AA76" s="1046">
        <f t="shared" si="90"/>
        <v>316.40363636363639</v>
      </c>
      <c r="AB76" s="1046">
        <v>0</v>
      </c>
    </row>
    <row r="77" spans="1:28" ht="24" customHeight="1" thickTop="1" thickBot="1" x14ac:dyDescent="0.3">
      <c r="A77" s="561" t="s">
        <v>556</v>
      </c>
      <c r="B77" s="1048" t="s">
        <v>557</v>
      </c>
      <c r="C77" s="1045">
        <v>6036.36</v>
      </c>
      <c r="D77" s="1046">
        <v>0</v>
      </c>
      <c r="E77" s="1046">
        <f t="shared" si="83"/>
        <v>548.76</v>
      </c>
      <c r="F77" s="1046">
        <v>0</v>
      </c>
      <c r="G77" s="1046">
        <f t="shared" si="84"/>
        <v>548.76</v>
      </c>
      <c r="H77" s="1046">
        <v>0</v>
      </c>
      <c r="I77" s="1046">
        <f t="shared" si="85"/>
        <v>548.76</v>
      </c>
      <c r="J77" s="1046">
        <v>0</v>
      </c>
      <c r="K77" s="1046">
        <f t="shared" si="86"/>
        <v>548.76</v>
      </c>
      <c r="L77" s="1046">
        <v>0</v>
      </c>
      <c r="M77" s="1046">
        <f t="shared" si="87"/>
        <v>548.76</v>
      </c>
      <c r="N77" s="1046">
        <v>0</v>
      </c>
      <c r="O77" s="1046">
        <f t="shared" si="88"/>
        <v>548.76</v>
      </c>
      <c r="P77" s="1046">
        <v>0</v>
      </c>
      <c r="Q77" s="1046">
        <f t="shared" si="88"/>
        <v>548.76</v>
      </c>
      <c r="R77" s="1046">
        <v>0</v>
      </c>
      <c r="S77" s="1046">
        <f t="shared" si="89"/>
        <v>274.38</v>
      </c>
      <c r="T77" s="1046">
        <v>0</v>
      </c>
      <c r="U77" s="1046">
        <f t="shared" si="88"/>
        <v>548.76</v>
      </c>
      <c r="V77" s="1046">
        <v>0</v>
      </c>
      <c r="W77" s="1046">
        <f t="shared" si="88"/>
        <v>548.76</v>
      </c>
      <c r="X77" s="1046">
        <v>0</v>
      </c>
      <c r="Y77" s="1046">
        <f t="shared" si="88"/>
        <v>548.76</v>
      </c>
      <c r="Z77" s="1046">
        <v>0</v>
      </c>
      <c r="AA77" s="1046">
        <f t="shared" si="90"/>
        <v>274.38</v>
      </c>
      <c r="AB77" s="1046">
        <v>0</v>
      </c>
    </row>
    <row r="78" spans="1:28" ht="24" customHeight="1" thickTop="1" thickBot="1" x14ac:dyDescent="0.3">
      <c r="A78" s="561" t="s">
        <v>558</v>
      </c>
      <c r="B78" s="1048" t="s">
        <v>559</v>
      </c>
      <c r="C78" s="1045">
        <v>116.64</v>
      </c>
      <c r="D78" s="1046">
        <v>0</v>
      </c>
      <c r="E78" s="1046">
        <f t="shared" si="83"/>
        <v>10.603636363636364</v>
      </c>
      <c r="F78" s="1046">
        <v>0</v>
      </c>
      <c r="G78" s="1046">
        <f t="shared" si="84"/>
        <v>10.603636363636364</v>
      </c>
      <c r="H78" s="1046">
        <v>0</v>
      </c>
      <c r="I78" s="1046">
        <f t="shared" si="85"/>
        <v>10.603636363636364</v>
      </c>
      <c r="J78" s="1046">
        <v>0</v>
      </c>
      <c r="K78" s="1046">
        <f t="shared" si="86"/>
        <v>10.603636363636364</v>
      </c>
      <c r="L78" s="1046">
        <v>0</v>
      </c>
      <c r="M78" s="1046">
        <f t="shared" si="87"/>
        <v>10.603636363636364</v>
      </c>
      <c r="N78" s="1046">
        <v>0</v>
      </c>
      <c r="O78" s="1046">
        <f t="shared" si="88"/>
        <v>10.603636363636364</v>
      </c>
      <c r="P78" s="1046">
        <v>0</v>
      </c>
      <c r="Q78" s="1046">
        <f t="shared" si="88"/>
        <v>10.603636363636364</v>
      </c>
      <c r="R78" s="1046">
        <v>0</v>
      </c>
      <c r="S78" s="1046">
        <f t="shared" si="89"/>
        <v>5.3018181818181818</v>
      </c>
      <c r="T78" s="1046">
        <v>0</v>
      </c>
      <c r="U78" s="1046">
        <f t="shared" si="88"/>
        <v>10.603636363636364</v>
      </c>
      <c r="V78" s="1046">
        <v>0</v>
      </c>
      <c r="W78" s="1046">
        <f t="shared" si="88"/>
        <v>10.603636363636364</v>
      </c>
      <c r="X78" s="1046">
        <v>0</v>
      </c>
      <c r="Y78" s="1046">
        <f t="shared" si="88"/>
        <v>10.603636363636364</v>
      </c>
      <c r="Z78" s="1046">
        <v>0</v>
      </c>
      <c r="AA78" s="1046">
        <f t="shared" si="90"/>
        <v>5.3018181818181818</v>
      </c>
      <c r="AB78" s="1046">
        <v>0</v>
      </c>
    </row>
    <row r="79" spans="1:28" ht="24" customHeight="1" thickTop="1" thickBot="1" x14ac:dyDescent="0.3">
      <c r="A79" s="561" t="s">
        <v>560</v>
      </c>
      <c r="B79" s="1048" t="s">
        <v>561</v>
      </c>
      <c r="C79" s="1045">
        <v>12712.73</v>
      </c>
      <c r="D79" s="1046">
        <v>0</v>
      </c>
      <c r="E79" s="1046">
        <f t="shared" si="83"/>
        <v>1155.7027272727273</v>
      </c>
      <c r="F79" s="1046">
        <v>0</v>
      </c>
      <c r="G79" s="1046">
        <f t="shared" si="84"/>
        <v>1155.7027272727273</v>
      </c>
      <c r="H79" s="1046">
        <v>0</v>
      </c>
      <c r="I79" s="1046">
        <f t="shared" si="85"/>
        <v>1155.7027272727273</v>
      </c>
      <c r="J79" s="1046">
        <v>0</v>
      </c>
      <c r="K79" s="1046">
        <f t="shared" si="86"/>
        <v>1155.7027272727273</v>
      </c>
      <c r="L79" s="1046">
        <v>0</v>
      </c>
      <c r="M79" s="1046">
        <f t="shared" si="87"/>
        <v>1155.7027272727273</v>
      </c>
      <c r="N79" s="1046">
        <v>0</v>
      </c>
      <c r="O79" s="1046">
        <f t="shared" si="88"/>
        <v>1155.7027272727273</v>
      </c>
      <c r="P79" s="1046">
        <v>0</v>
      </c>
      <c r="Q79" s="1046">
        <f t="shared" si="88"/>
        <v>1155.7027272727273</v>
      </c>
      <c r="R79" s="1046">
        <v>0</v>
      </c>
      <c r="S79" s="1046">
        <f t="shared" si="89"/>
        <v>577.85136363636366</v>
      </c>
      <c r="T79" s="1046">
        <v>0</v>
      </c>
      <c r="U79" s="1046">
        <f t="shared" si="88"/>
        <v>1155.7027272727273</v>
      </c>
      <c r="V79" s="1046">
        <v>0</v>
      </c>
      <c r="W79" s="1046">
        <f t="shared" si="88"/>
        <v>1155.7027272727273</v>
      </c>
      <c r="X79" s="1046">
        <v>0</v>
      </c>
      <c r="Y79" s="1046">
        <f t="shared" si="88"/>
        <v>1155.7027272727273</v>
      </c>
      <c r="Z79" s="1046">
        <v>0</v>
      </c>
      <c r="AA79" s="1046">
        <f t="shared" si="90"/>
        <v>577.85136363636366</v>
      </c>
      <c r="AB79" s="1046">
        <v>0</v>
      </c>
    </row>
    <row r="80" spans="1:28" ht="24" customHeight="1" thickTop="1" thickBot="1" x14ac:dyDescent="0.3">
      <c r="A80" s="561" t="s">
        <v>562</v>
      </c>
      <c r="B80" s="1048" t="s">
        <v>563</v>
      </c>
      <c r="C80" s="1045">
        <v>542.54999999999995</v>
      </c>
      <c r="D80" s="1046">
        <v>0</v>
      </c>
      <c r="E80" s="1046">
        <f t="shared" si="83"/>
        <v>49.322727272727271</v>
      </c>
      <c r="F80" s="1046">
        <v>0</v>
      </c>
      <c r="G80" s="1046">
        <f t="shared" si="84"/>
        <v>49.322727272727271</v>
      </c>
      <c r="H80" s="1046">
        <v>0</v>
      </c>
      <c r="I80" s="1046">
        <f t="shared" si="85"/>
        <v>49.322727272727271</v>
      </c>
      <c r="J80" s="1046">
        <v>0</v>
      </c>
      <c r="K80" s="1046">
        <f t="shared" si="86"/>
        <v>49.322727272727271</v>
      </c>
      <c r="L80" s="1046">
        <v>0</v>
      </c>
      <c r="M80" s="1046">
        <f t="shared" si="87"/>
        <v>49.322727272727271</v>
      </c>
      <c r="N80" s="1046">
        <v>0</v>
      </c>
      <c r="O80" s="1046">
        <f t="shared" si="88"/>
        <v>49.322727272727271</v>
      </c>
      <c r="P80" s="1046">
        <v>0</v>
      </c>
      <c r="Q80" s="1046">
        <f t="shared" si="88"/>
        <v>49.322727272727271</v>
      </c>
      <c r="R80" s="1046">
        <v>0</v>
      </c>
      <c r="S80" s="1046">
        <f t="shared" si="89"/>
        <v>24.661363636363635</v>
      </c>
      <c r="T80" s="1046">
        <v>0</v>
      </c>
      <c r="U80" s="1046">
        <f t="shared" si="88"/>
        <v>49.322727272727271</v>
      </c>
      <c r="V80" s="1046">
        <v>0</v>
      </c>
      <c r="W80" s="1046">
        <f t="shared" si="88"/>
        <v>49.322727272727271</v>
      </c>
      <c r="X80" s="1046">
        <v>0</v>
      </c>
      <c r="Y80" s="1046">
        <f t="shared" si="88"/>
        <v>49.322727272727271</v>
      </c>
      <c r="Z80" s="1046">
        <v>0</v>
      </c>
      <c r="AA80" s="1046">
        <f t="shared" si="90"/>
        <v>24.661363636363635</v>
      </c>
      <c r="AB80" s="1046">
        <v>0</v>
      </c>
    </row>
    <row r="81" spans="1:28" ht="24" customHeight="1" thickTop="1" thickBot="1" x14ac:dyDescent="0.3">
      <c r="A81" s="561" t="s">
        <v>564</v>
      </c>
      <c r="B81" s="1048" t="s">
        <v>565</v>
      </c>
      <c r="C81" s="1045">
        <v>22134.12</v>
      </c>
      <c r="D81" s="1046">
        <v>0</v>
      </c>
      <c r="E81" s="1046">
        <f t="shared" si="83"/>
        <v>2012.1927272727271</v>
      </c>
      <c r="F81" s="1046">
        <v>0</v>
      </c>
      <c r="G81" s="1046">
        <f t="shared" si="84"/>
        <v>2012.1927272727271</v>
      </c>
      <c r="H81" s="1046">
        <v>0</v>
      </c>
      <c r="I81" s="1046">
        <f t="shared" si="85"/>
        <v>2012.1927272727271</v>
      </c>
      <c r="J81" s="1046">
        <v>0</v>
      </c>
      <c r="K81" s="1046">
        <f t="shared" si="86"/>
        <v>2012.1927272727271</v>
      </c>
      <c r="L81" s="1046">
        <v>0</v>
      </c>
      <c r="M81" s="1046">
        <f t="shared" si="87"/>
        <v>2012.1927272727271</v>
      </c>
      <c r="N81" s="1046">
        <v>0</v>
      </c>
      <c r="O81" s="1046">
        <f t="shared" si="88"/>
        <v>2012.1927272727271</v>
      </c>
      <c r="P81" s="1046">
        <v>0</v>
      </c>
      <c r="Q81" s="1046">
        <f t="shared" si="88"/>
        <v>2012.1927272727271</v>
      </c>
      <c r="R81" s="1046">
        <v>0</v>
      </c>
      <c r="S81" s="1046">
        <f t="shared" si="89"/>
        <v>1006.0963636363635</v>
      </c>
      <c r="T81" s="1046">
        <v>0</v>
      </c>
      <c r="U81" s="1046">
        <f t="shared" si="88"/>
        <v>2012.1927272727271</v>
      </c>
      <c r="V81" s="1046">
        <v>0</v>
      </c>
      <c r="W81" s="1046">
        <f t="shared" si="88"/>
        <v>2012.1927272727271</v>
      </c>
      <c r="X81" s="1046">
        <v>0</v>
      </c>
      <c r="Y81" s="1046">
        <f t="shared" si="88"/>
        <v>2012.1927272727271</v>
      </c>
      <c r="Z81" s="1046">
        <v>0</v>
      </c>
      <c r="AA81" s="1046">
        <f t="shared" si="90"/>
        <v>1006.0963636363635</v>
      </c>
      <c r="AB81" s="1046">
        <v>0</v>
      </c>
    </row>
    <row r="82" spans="1:28" ht="24" customHeight="1" thickTop="1" thickBot="1" x14ac:dyDescent="0.3">
      <c r="A82" s="561" t="s">
        <v>566</v>
      </c>
      <c r="B82" s="561" t="s">
        <v>567</v>
      </c>
      <c r="C82" s="1045">
        <v>0</v>
      </c>
      <c r="D82" s="1046">
        <v>0</v>
      </c>
      <c r="E82" s="1046">
        <v>0</v>
      </c>
      <c r="F82" s="1046">
        <f>($D82*$E$1)/$AC$1</f>
        <v>0</v>
      </c>
      <c r="G82" s="1046">
        <v>0</v>
      </c>
      <c r="H82" s="1046">
        <f>($D82*$G$1)/$AC$1</f>
        <v>0</v>
      </c>
      <c r="I82" s="1046">
        <v>0</v>
      </c>
      <c r="J82" s="1046">
        <f>($D82*$I$1)/$AC$1</f>
        <v>0</v>
      </c>
      <c r="K82" s="1046">
        <v>0</v>
      </c>
      <c r="L82" s="1046">
        <f>($D82*$K$1)/$AC$1</f>
        <v>0</v>
      </c>
      <c r="M82" s="1046">
        <v>0</v>
      </c>
      <c r="N82" s="1046">
        <f>($D82*$M$1)/$AC$1</f>
        <v>0</v>
      </c>
      <c r="O82" s="1046">
        <v>0</v>
      </c>
      <c r="P82" s="1046">
        <f>($D82*$O$1)/$AC$1</f>
        <v>0</v>
      </c>
      <c r="Q82" s="1046">
        <v>0</v>
      </c>
      <c r="R82" s="1046">
        <f>($D82*$Q$1)/$AC$1</f>
        <v>0</v>
      </c>
      <c r="S82" s="1046">
        <v>0</v>
      </c>
      <c r="T82" s="1046">
        <f>($D82*$S$1)/$AC$1</f>
        <v>0</v>
      </c>
      <c r="U82" s="1046">
        <v>0</v>
      </c>
      <c r="V82" s="1046">
        <f>($D82*$U$1)/$AC$1</f>
        <v>0</v>
      </c>
      <c r="W82" s="1046">
        <v>0</v>
      </c>
      <c r="X82" s="1046">
        <f>($D82*$W$1)/$AC$1</f>
        <v>0</v>
      </c>
      <c r="Y82" s="1046">
        <v>0</v>
      </c>
      <c r="Z82" s="1046">
        <f>($D82*$Y$1)/$AC$1</f>
        <v>0</v>
      </c>
      <c r="AA82" s="1046">
        <v>0</v>
      </c>
      <c r="AB82" s="1046">
        <f>($D82*$AA$1)/$AC$1</f>
        <v>0</v>
      </c>
    </row>
    <row r="83" spans="1:28" ht="24" customHeight="1" thickTop="1" thickBot="1" x14ac:dyDescent="0.3">
      <c r="A83" s="561" t="s">
        <v>568</v>
      </c>
      <c r="B83" s="561" t="s">
        <v>569</v>
      </c>
      <c r="C83" s="1045">
        <v>0</v>
      </c>
      <c r="D83" s="1046">
        <v>1150000</v>
      </c>
      <c r="E83" s="1046">
        <v>0</v>
      </c>
      <c r="F83" s="1046">
        <f t="shared" ref="F83:F94" si="91">($D83*$E$1)/$AC$1</f>
        <v>80000</v>
      </c>
      <c r="G83" s="1046">
        <v>0</v>
      </c>
      <c r="H83" s="1046">
        <f t="shared" ref="H83:H86" si="92">($D83*$G$1)/$AC$1</f>
        <v>95000</v>
      </c>
      <c r="I83" s="1046">
        <v>0</v>
      </c>
      <c r="J83" s="1046">
        <f t="shared" ref="J83:J86" si="93">($D83*$I$1)/$AC$1</f>
        <v>115000</v>
      </c>
      <c r="K83" s="1046">
        <v>0</v>
      </c>
      <c r="L83" s="1046">
        <f t="shared" ref="L83:L86" si="94">($D83*$K$1)/$AC$1</f>
        <v>95000</v>
      </c>
      <c r="M83" s="1046">
        <v>0</v>
      </c>
      <c r="N83" s="1046">
        <f t="shared" ref="N83:N86" si="95">($D83*$M$1)/$AC$1</f>
        <v>105000</v>
      </c>
      <c r="O83" s="1046">
        <v>0</v>
      </c>
      <c r="P83" s="1046">
        <f t="shared" ref="P83:P86" si="96">($D83*$O$1)/$AC$1</f>
        <v>110000</v>
      </c>
      <c r="Q83" s="1046">
        <v>0</v>
      </c>
      <c r="R83" s="1046">
        <f t="shared" ref="R83:R86" si="97">($D83*$Q$1)/$AC$1</f>
        <v>105000</v>
      </c>
      <c r="S83" s="1046">
        <v>0</v>
      </c>
      <c r="T83" s="1046">
        <f t="shared" ref="T83:T86" si="98">($D83*$S$1)/$AC$1</f>
        <v>60000</v>
      </c>
      <c r="U83" s="1046">
        <v>0</v>
      </c>
      <c r="V83" s="1046">
        <f t="shared" ref="V83:V86" si="99">($D83*$U$1)/$AC$1</f>
        <v>110000</v>
      </c>
      <c r="W83" s="1046">
        <v>0</v>
      </c>
      <c r="X83" s="1046">
        <f t="shared" ref="X83:X86" si="100">($D83*$W$1)/$AC$1</f>
        <v>100000</v>
      </c>
      <c r="Y83" s="1046">
        <v>0</v>
      </c>
      <c r="Z83" s="1046">
        <f t="shared" ref="Z83:Z86" si="101">($D83*$Y$1)/$AC$1</f>
        <v>105000</v>
      </c>
      <c r="AA83" s="1046">
        <v>0</v>
      </c>
      <c r="AB83" s="1046">
        <f t="shared" ref="AB83:AB86" si="102">($D83*$AA$1)/$AC$1</f>
        <v>70000</v>
      </c>
    </row>
    <row r="84" spans="1:28" ht="24" customHeight="1" thickTop="1" thickBot="1" x14ac:dyDescent="0.3">
      <c r="A84" s="561" t="s">
        <v>570</v>
      </c>
      <c r="B84" s="561" t="s">
        <v>571</v>
      </c>
      <c r="C84" s="1045">
        <v>0</v>
      </c>
      <c r="D84" s="1046">
        <v>90000</v>
      </c>
      <c r="E84" s="1046">
        <v>0</v>
      </c>
      <c r="F84" s="1046">
        <f t="shared" si="91"/>
        <v>6260.869565217391</v>
      </c>
      <c r="G84" s="1046">
        <v>0</v>
      </c>
      <c r="H84" s="1046">
        <f t="shared" si="92"/>
        <v>7434.782608695652</v>
      </c>
      <c r="I84" s="1046">
        <v>0</v>
      </c>
      <c r="J84" s="1046">
        <f t="shared" si="93"/>
        <v>9000</v>
      </c>
      <c r="K84" s="1046">
        <v>0</v>
      </c>
      <c r="L84" s="1046">
        <f t="shared" si="94"/>
        <v>7434.782608695652</v>
      </c>
      <c r="M84" s="1046">
        <v>0</v>
      </c>
      <c r="N84" s="1046">
        <f t="shared" si="95"/>
        <v>8217.391304347826</v>
      </c>
      <c r="O84" s="1046">
        <v>0</v>
      </c>
      <c r="P84" s="1046">
        <f t="shared" si="96"/>
        <v>8608.6956521739139</v>
      </c>
      <c r="Q84" s="1046">
        <v>0</v>
      </c>
      <c r="R84" s="1046">
        <f t="shared" si="97"/>
        <v>8217.391304347826</v>
      </c>
      <c r="S84" s="1046">
        <v>0</v>
      </c>
      <c r="T84" s="1046">
        <f t="shared" si="98"/>
        <v>4695.652173913043</v>
      </c>
      <c r="U84" s="1046">
        <v>0</v>
      </c>
      <c r="V84" s="1046">
        <f t="shared" si="99"/>
        <v>8608.6956521739139</v>
      </c>
      <c r="W84" s="1046">
        <v>0</v>
      </c>
      <c r="X84" s="1046">
        <f t="shared" si="100"/>
        <v>7826.086956521739</v>
      </c>
      <c r="Y84" s="1046">
        <v>0</v>
      </c>
      <c r="Z84" s="1046">
        <f t="shared" si="101"/>
        <v>8217.391304347826</v>
      </c>
      <c r="AA84" s="1046">
        <v>0</v>
      </c>
      <c r="AB84" s="1046">
        <f t="shared" si="102"/>
        <v>5478.260869565217</v>
      </c>
    </row>
    <row r="85" spans="1:28" ht="24" customHeight="1" thickTop="1" thickBot="1" x14ac:dyDescent="0.3">
      <c r="A85" s="561" t="s">
        <v>572</v>
      </c>
      <c r="B85" s="561" t="s">
        <v>573</v>
      </c>
      <c r="C85" s="1045">
        <v>0</v>
      </c>
      <c r="D85" s="1046">
        <v>0</v>
      </c>
      <c r="E85" s="1046">
        <v>0</v>
      </c>
      <c r="F85" s="1046">
        <f t="shared" si="91"/>
        <v>0</v>
      </c>
      <c r="G85" s="1046">
        <v>0</v>
      </c>
      <c r="H85" s="1046">
        <f t="shared" si="92"/>
        <v>0</v>
      </c>
      <c r="I85" s="1046">
        <v>0</v>
      </c>
      <c r="J85" s="1046">
        <f t="shared" si="93"/>
        <v>0</v>
      </c>
      <c r="K85" s="1046">
        <v>0</v>
      </c>
      <c r="L85" s="1046">
        <f t="shared" si="94"/>
        <v>0</v>
      </c>
      <c r="M85" s="1046">
        <v>0</v>
      </c>
      <c r="N85" s="1046">
        <f t="shared" si="95"/>
        <v>0</v>
      </c>
      <c r="O85" s="1046">
        <v>0</v>
      </c>
      <c r="P85" s="1046">
        <f t="shared" si="96"/>
        <v>0</v>
      </c>
      <c r="Q85" s="1046">
        <v>0</v>
      </c>
      <c r="R85" s="1046">
        <f t="shared" si="97"/>
        <v>0</v>
      </c>
      <c r="S85" s="1046">
        <v>0</v>
      </c>
      <c r="T85" s="1046">
        <f t="shared" si="98"/>
        <v>0</v>
      </c>
      <c r="U85" s="1046">
        <v>0</v>
      </c>
      <c r="V85" s="1046">
        <f t="shared" si="99"/>
        <v>0</v>
      </c>
      <c r="W85" s="1046">
        <v>0</v>
      </c>
      <c r="X85" s="1046">
        <f t="shared" si="100"/>
        <v>0</v>
      </c>
      <c r="Y85" s="1046">
        <v>0</v>
      </c>
      <c r="Z85" s="1046">
        <f t="shared" si="101"/>
        <v>0</v>
      </c>
      <c r="AA85" s="1046">
        <v>0</v>
      </c>
      <c r="AB85" s="1046">
        <f t="shared" si="102"/>
        <v>0</v>
      </c>
    </row>
    <row r="86" spans="1:28" ht="24" customHeight="1" thickTop="1" thickBot="1" x14ac:dyDescent="0.3">
      <c r="A86" s="561" t="s">
        <v>574</v>
      </c>
      <c r="B86" s="561" t="s">
        <v>575</v>
      </c>
      <c r="C86" s="1045">
        <v>0</v>
      </c>
      <c r="D86" s="1046">
        <v>0</v>
      </c>
      <c r="E86" s="1046">
        <v>0</v>
      </c>
      <c r="F86" s="1046">
        <f t="shared" si="91"/>
        <v>0</v>
      </c>
      <c r="G86" s="1046">
        <v>0</v>
      </c>
      <c r="H86" s="1046">
        <f t="shared" si="92"/>
        <v>0</v>
      </c>
      <c r="I86" s="1046">
        <v>0</v>
      </c>
      <c r="J86" s="1046">
        <f t="shared" si="93"/>
        <v>0</v>
      </c>
      <c r="K86" s="1046">
        <v>0</v>
      </c>
      <c r="L86" s="1046">
        <f t="shared" si="94"/>
        <v>0</v>
      </c>
      <c r="M86" s="1046">
        <v>0</v>
      </c>
      <c r="N86" s="1046">
        <f t="shared" si="95"/>
        <v>0</v>
      </c>
      <c r="O86" s="1046">
        <v>0</v>
      </c>
      <c r="P86" s="1046">
        <f t="shared" si="96"/>
        <v>0</v>
      </c>
      <c r="Q86" s="1046">
        <v>0</v>
      </c>
      <c r="R86" s="1046">
        <f t="shared" si="97"/>
        <v>0</v>
      </c>
      <c r="S86" s="1046">
        <v>0</v>
      </c>
      <c r="T86" s="1046">
        <f t="shared" si="98"/>
        <v>0</v>
      </c>
      <c r="U86" s="1046">
        <v>0</v>
      </c>
      <c r="V86" s="1046">
        <f t="shared" si="99"/>
        <v>0</v>
      </c>
      <c r="W86" s="1046">
        <v>0</v>
      </c>
      <c r="X86" s="1046">
        <f t="shared" si="100"/>
        <v>0</v>
      </c>
      <c r="Y86" s="1046">
        <v>0</v>
      </c>
      <c r="Z86" s="1046">
        <f t="shared" si="101"/>
        <v>0</v>
      </c>
      <c r="AA86" s="1046">
        <v>0</v>
      </c>
      <c r="AB86" s="1046">
        <f t="shared" si="102"/>
        <v>0</v>
      </c>
    </row>
    <row r="87" spans="1:28" ht="24" customHeight="1" thickTop="1" thickBot="1" x14ac:dyDescent="0.3">
      <c r="A87" s="561" t="s">
        <v>576</v>
      </c>
      <c r="B87" s="561" t="s">
        <v>577</v>
      </c>
      <c r="C87" s="1045">
        <v>0</v>
      </c>
      <c r="D87" s="1046">
        <v>0</v>
      </c>
      <c r="E87" s="1046">
        <f>($C87*$E$1)/$AC$1</f>
        <v>0</v>
      </c>
      <c r="F87" s="1046">
        <f t="shared" si="91"/>
        <v>0</v>
      </c>
      <c r="G87" s="1046">
        <f>($C87*$G$1)/$AC$1</f>
        <v>0</v>
      </c>
      <c r="H87" s="1046">
        <v>0</v>
      </c>
      <c r="I87" s="1046">
        <f>($C87*$I$1)/$AC$1</f>
        <v>0</v>
      </c>
      <c r="J87" s="1046">
        <v>0</v>
      </c>
      <c r="K87" s="1046">
        <f>($C87*$K$1)/$AC$1</f>
        <v>0</v>
      </c>
      <c r="L87" s="1046">
        <v>0</v>
      </c>
      <c r="M87" s="1046">
        <f>($C87*$M$1)/$AC$1</f>
        <v>0</v>
      </c>
      <c r="N87" s="1046">
        <v>0</v>
      </c>
      <c r="O87" s="1046">
        <f>($C87*$O$1)/$AC$1</f>
        <v>0</v>
      </c>
      <c r="P87" s="1046">
        <v>0</v>
      </c>
      <c r="Q87" s="1046">
        <f>($C87*$Q$1)/$AC$1</f>
        <v>0</v>
      </c>
      <c r="R87" s="1046">
        <v>0</v>
      </c>
      <c r="S87" s="1046">
        <f>($C87*$S$1)/$AC$1</f>
        <v>0</v>
      </c>
      <c r="T87" s="1046">
        <v>0</v>
      </c>
      <c r="U87" s="1046">
        <f>($C87*$U$1)/$AC$1</f>
        <v>0</v>
      </c>
      <c r="V87" s="1046">
        <v>0</v>
      </c>
      <c r="W87" s="1046">
        <f>($C87*$W$1)/$AC$1</f>
        <v>0</v>
      </c>
      <c r="X87" s="1046">
        <v>0</v>
      </c>
      <c r="Y87" s="1046">
        <f>($C87*$Y$1)/$AC$1</f>
        <v>0</v>
      </c>
      <c r="Z87" s="1046">
        <v>0</v>
      </c>
      <c r="AA87" s="1046">
        <f>($C87*$AA$1)/$AC$1</f>
        <v>0</v>
      </c>
      <c r="AB87" s="1046">
        <v>0</v>
      </c>
    </row>
    <row r="88" spans="1:28" ht="24" customHeight="1" thickTop="1" thickBot="1" x14ac:dyDescent="0.3">
      <c r="A88" s="561" t="s">
        <v>578</v>
      </c>
      <c r="B88" s="561" t="s">
        <v>579</v>
      </c>
      <c r="C88" s="1045">
        <v>1300</v>
      </c>
      <c r="D88" s="1046">
        <v>0</v>
      </c>
      <c r="E88" s="1046">
        <f>($C88*$E$1)/$AC$1</f>
        <v>90.434782608695656</v>
      </c>
      <c r="F88" s="1046">
        <f t="shared" si="91"/>
        <v>0</v>
      </c>
      <c r="G88" s="1046">
        <f>($C88*$G$1)/$AC$1</f>
        <v>107.39130434782609</v>
      </c>
      <c r="H88" s="1046">
        <v>0</v>
      </c>
      <c r="I88" s="1046">
        <f>($C88*$I$1)/$AC$1</f>
        <v>130</v>
      </c>
      <c r="J88" s="1046">
        <v>0</v>
      </c>
      <c r="K88" s="1046">
        <f>($C88*$K$1)/$AC$1</f>
        <v>107.39130434782609</v>
      </c>
      <c r="L88" s="1046">
        <v>0</v>
      </c>
      <c r="M88" s="1046">
        <f>($C88*$M$1)/$AC$1</f>
        <v>118.69565217391305</v>
      </c>
      <c r="N88" s="1046">
        <v>0</v>
      </c>
      <c r="O88" s="1046">
        <f>($C88*$O$1)/$AC$1</f>
        <v>124.34782608695652</v>
      </c>
      <c r="P88" s="1046">
        <v>0</v>
      </c>
      <c r="Q88" s="1046">
        <f>($C88*$Q$1)/$AC$1</f>
        <v>118.69565217391305</v>
      </c>
      <c r="R88" s="1046">
        <v>0</v>
      </c>
      <c r="S88" s="1046">
        <f>($C88*$S$1)/$AC$1</f>
        <v>67.826086956521735</v>
      </c>
      <c r="T88" s="1046">
        <v>0</v>
      </c>
      <c r="U88" s="1046">
        <f>($C88*$U$1)/$AC$1</f>
        <v>124.34782608695652</v>
      </c>
      <c r="V88" s="1046">
        <v>0</v>
      </c>
      <c r="W88" s="1046">
        <f>($C88*$W$1)/$AC$1</f>
        <v>113.04347826086956</v>
      </c>
      <c r="X88" s="1046">
        <v>0</v>
      </c>
      <c r="Y88" s="1046">
        <f>($C88*$Y$1)/$AC$1</f>
        <v>118.69565217391305</v>
      </c>
      <c r="Z88" s="1046">
        <v>0</v>
      </c>
      <c r="AA88" s="1046">
        <f>($C88*$AA$1)/$AC$1</f>
        <v>79.130434782608702</v>
      </c>
      <c r="AB88" s="1046">
        <v>0</v>
      </c>
    </row>
    <row r="89" spans="1:28" ht="24" customHeight="1" thickTop="1" thickBot="1" x14ac:dyDescent="0.3">
      <c r="A89" s="561" t="s">
        <v>580</v>
      </c>
      <c r="B89" s="1048" t="s">
        <v>581</v>
      </c>
      <c r="C89" s="1045">
        <v>0</v>
      </c>
      <c r="D89" s="1046">
        <v>117868.72</v>
      </c>
      <c r="E89" s="1046">
        <v>0</v>
      </c>
      <c r="F89" s="1046">
        <f>D89/11</f>
        <v>10715.338181818182</v>
      </c>
      <c r="G89" s="1046">
        <v>0</v>
      </c>
      <c r="H89" s="1046">
        <f>D89/11</f>
        <v>10715.338181818182</v>
      </c>
      <c r="I89" s="1046">
        <v>0</v>
      </c>
      <c r="J89" s="1046">
        <f>D89/11</f>
        <v>10715.338181818182</v>
      </c>
      <c r="K89" s="1046">
        <v>0</v>
      </c>
      <c r="L89" s="1046">
        <f>D89/11</f>
        <v>10715.338181818182</v>
      </c>
      <c r="M89" s="1046">
        <v>0</v>
      </c>
      <c r="N89" s="1046">
        <f>D89/11</f>
        <v>10715.338181818182</v>
      </c>
      <c r="O89" s="1046">
        <v>0</v>
      </c>
      <c r="P89" s="1046">
        <f>$D89/11</f>
        <v>10715.338181818182</v>
      </c>
      <c r="Q89" s="1046">
        <v>0</v>
      </c>
      <c r="R89" s="1046">
        <f>$D89/11</f>
        <v>10715.338181818182</v>
      </c>
      <c r="S89" s="1046">
        <v>0</v>
      </c>
      <c r="T89" s="1046">
        <f>($D89/11)/2</f>
        <v>5357.6690909090912</v>
      </c>
      <c r="U89" s="1046">
        <v>0</v>
      </c>
      <c r="V89" s="1046">
        <f>$D89/11</f>
        <v>10715.338181818182</v>
      </c>
      <c r="W89" s="1046">
        <v>0</v>
      </c>
      <c r="X89" s="1046">
        <f>$D89/11</f>
        <v>10715.338181818182</v>
      </c>
      <c r="Y89" s="1046">
        <v>0</v>
      </c>
      <c r="Z89" s="1046">
        <f>$D89/11</f>
        <v>10715.338181818182</v>
      </c>
      <c r="AA89" s="1046">
        <v>0</v>
      </c>
      <c r="AB89" s="1046">
        <f>($D89/11)/2</f>
        <v>5357.6690909090912</v>
      </c>
    </row>
    <row r="90" spans="1:28" ht="24" customHeight="1" thickTop="1" thickBot="1" x14ac:dyDescent="0.3">
      <c r="A90" s="561" t="s">
        <v>582</v>
      </c>
      <c r="B90" s="561" t="s">
        <v>583</v>
      </c>
      <c r="C90" s="1045">
        <v>0</v>
      </c>
      <c r="D90" s="1046">
        <v>100</v>
      </c>
      <c r="E90" s="1046">
        <v>0</v>
      </c>
      <c r="F90" s="1046">
        <f t="shared" si="91"/>
        <v>6.9565217391304346</v>
      </c>
      <c r="G90" s="1046">
        <v>0</v>
      </c>
      <c r="H90" s="1046">
        <f t="shared" ref="H90:H94" si="103">($D90*$G$1)/$AC$1</f>
        <v>8.2608695652173907</v>
      </c>
      <c r="I90" s="1046">
        <v>0</v>
      </c>
      <c r="J90" s="1046">
        <f>($D90*$I$1)/$AC$1</f>
        <v>10</v>
      </c>
      <c r="K90" s="1046">
        <v>0</v>
      </c>
      <c r="L90" s="1046">
        <f>($D90*$K$1)/$AC$1</f>
        <v>8.2608695652173907</v>
      </c>
      <c r="M90" s="1046">
        <v>0</v>
      </c>
      <c r="N90" s="1046">
        <f>($D90*$M$1)/$AC$1</f>
        <v>9.1304347826086953</v>
      </c>
      <c r="O90" s="1046">
        <v>0</v>
      </c>
      <c r="P90" s="1046">
        <f>($D90*$O$1)/$AC$1</f>
        <v>9.5652173913043477</v>
      </c>
      <c r="Q90" s="1046">
        <v>0</v>
      </c>
      <c r="R90" s="1046">
        <f>($D90*$Q$1)/$AC$1</f>
        <v>9.1304347826086953</v>
      </c>
      <c r="S90" s="1046">
        <v>0</v>
      </c>
      <c r="T90" s="1046">
        <f>($D90*$S$1)/$AC$1</f>
        <v>5.2173913043478262</v>
      </c>
      <c r="U90" s="1046">
        <v>0</v>
      </c>
      <c r="V90" s="1046">
        <f>($D90*$U$1)/$AC$1</f>
        <v>9.5652173913043477</v>
      </c>
      <c r="W90" s="1046">
        <v>0</v>
      </c>
      <c r="X90" s="1046">
        <f>($D90*$W$1)/$AC$1</f>
        <v>8.695652173913043</v>
      </c>
      <c r="Y90" s="1046">
        <v>0</v>
      </c>
      <c r="Z90" s="1046">
        <f>($D90*$Y$1)/$AC$1</f>
        <v>9.1304347826086953</v>
      </c>
      <c r="AA90" s="1046">
        <v>0</v>
      </c>
      <c r="AB90" s="1046">
        <f>($D90*$AA$1)/$AC$1</f>
        <v>6.0869565217391308</v>
      </c>
    </row>
    <row r="91" spans="1:28" ht="24" customHeight="1" thickTop="1" thickBot="1" x14ac:dyDescent="0.3">
      <c r="A91" s="561" t="s">
        <v>584</v>
      </c>
      <c r="B91" s="561" t="s">
        <v>585</v>
      </c>
      <c r="C91" s="1045">
        <v>0</v>
      </c>
      <c r="D91" s="1046">
        <v>80</v>
      </c>
      <c r="E91" s="1046">
        <v>0</v>
      </c>
      <c r="F91" s="1046">
        <f t="shared" si="91"/>
        <v>5.5652173913043477</v>
      </c>
      <c r="G91" s="1046">
        <v>0</v>
      </c>
      <c r="H91" s="1046">
        <f t="shared" si="103"/>
        <v>6.6086956521739131</v>
      </c>
      <c r="I91" s="1046">
        <v>0</v>
      </c>
      <c r="J91" s="1046">
        <f t="shared" ref="J91:J94" si="104">($D91*$I$1)/$AC$1</f>
        <v>8</v>
      </c>
      <c r="K91" s="1046">
        <v>0</v>
      </c>
      <c r="L91" s="1046">
        <f t="shared" ref="L91:L94" si="105">($D91*$K$1)/$AC$1</f>
        <v>6.6086956521739131</v>
      </c>
      <c r="M91" s="1046">
        <v>0</v>
      </c>
      <c r="N91" s="1046">
        <f t="shared" ref="N91:N94" si="106">($D91*$M$1)/$AC$1</f>
        <v>7.3043478260869561</v>
      </c>
      <c r="O91" s="1046">
        <v>0</v>
      </c>
      <c r="P91" s="1046">
        <f t="shared" ref="P91:P94" si="107">($D91*$O$1)/$AC$1</f>
        <v>7.6521739130434785</v>
      </c>
      <c r="Q91" s="1046">
        <v>0</v>
      </c>
      <c r="R91" s="1046">
        <f t="shared" ref="R91:R94" si="108">($D91*$Q$1)/$AC$1</f>
        <v>7.3043478260869561</v>
      </c>
      <c r="S91" s="1046">
        <v>0</v>
      </c>
      <c r="T91" s="1046">
        <f t="shared" ref="T91:T94" si="109">($D91*$S$1)/$AC$1</f>
        <v>4.1739130434782608</v>
      </c>
      <c r="U91" s="1046">
        <v>0</v>
      </c>
      <c r="V91" s="1046">
        <f t="shared" ref="V91:V94" si="110">($D91*$U$1)/$AC$1</f>
        <v>7.6521739130434785</v>
      </c>
      <c r="W91" s="1046">
        <v>0</v>
      </c>
      <c r="X91" s="1046">
        <f t="shared" ref="X91:X94" si="111">($D91*$W$1)/$AC$1</f>
        <v>6.9565217391304346</v>
      </c>
      <c r="Y91" s="1046">
        <v>0</v>
      </c>
      <c r="Z91" s="1046">
        <f t="shared" ref="Z91:Z94" si="112">($D91*$Y$1)/$AC$1</f>
        <v>7.3043478260869561</v>
      </c>
      <c r="AA91" s="1046">
        <v>0</v>
      </c>
      <c r="AB91" s="1046">
        <f t="shared" ref="AB91:AB94" si="113">($D91*$AA$1)/$AC$1</f>
        <v>4.8695652173913047</v>
      </c>
    </row>
    <row r="92" spans="1:28" ht="24" customHeight="1" thickTop="1" thickBot="1" x14ac:dyDescent="0.3">
      <c r="A92" s="561" t="s">
        <v>586</v>
      </c>
      <c r="B92" s="561" t="s">
        <v>587</v>
      </c>
      <c r="C92" s="1045">
        <v>0</v>
      </c>
      <c r="D92" s="1046">
        <v>0</v>
      </c>
      <c r="E92" s="1046">
        <v>0</v>
      </c>
      <c r="F92" s="1046">
        <f t="shared" si="91"/>
        <v>0</v>
      </c>
      <c r="G92" s="1046">
        <v>0</v>
      </c>
      <c r="H92" s="1046">
        <f t="shared" si="103"/>
        <v>0</v>
      </c>
      <c r="I92" s="1046">
        <v>0</v>
      </c>
      <c r="J92" s="1046">
        <f t="shared" si="104"/>
        <v>0</v>
      </c>
      <c r="K92" s="1046">
        <v>0</v>
      </c>
      <c r="L92" s="1046">
        <f t="shared" si="105"/>
        <v>0</v>
      </c>
      <c r="M92" s="1046">
        <v>0</v>
      </c>
      <c r="N92" s="1046">
        <f t="shared" si="106"/>
        <v>0</v>
      </c>
      <c r="O92" s="1046">
        <v>0</v>
      </c>
      <c r="P92" s="1046">
        <f t="shared" si="107"/>
        <v>0</v>
      </c>
      <c r="Q92" s="1046">
        <v>0</v>
      </c>
      <c r="R92" s="1046">
        <f t="shared" si="108"/>
        <v>0</v>
      </c>
      <c r="S92" s="1046">
        <v>0</v>
      </c>
      <c r="T92" s="1046">
        <f t="shared" si="109"/>
        <v>0</v>
      </c>
      <c r="U92" s="1046">
        <v>0</v>
      </c>
      <c r="V92" s="1046">
        <f t="shared" si="110"/>
        <v>0</v>
      </c>
      <c r="W92" s="1046">
        <v>0</v>
      </c>
      <c r="X92" s="1046">
        <f t="shared" si="111"/>
        <v>0</v>
      </c>
      <c r="Y92" s="1046">
        <v>0</v>
      </c>
      <c r="Z92" s="1046">
        <f t="shared" si="112"/>
        <v>0</v>
      </c>
      <c r="AA92" s="1046">
        <v>0</v>
      </c>
      <c r="AB92" s="1046">
        <f t="shared" si="113"/>
        <v>0</v>
      </c>
    </row>
    <row r="93" spans="1:28" ht="24" customHeight="1" thickTop="1" thickBot="1" x14ac:dyDescent="0.3">
      <c r="A93" s="561" t="s">
        <v>588</v>
      </c>
      <c r="B93" s="561" t="s">
        <v>589</v>
      </c>
      <c r="C93" s="1045">
        <v>0</v>
      </c>
      <c r="D93" s="1046">
        <v>0</v>
      </c>
      <c r="E93" s="1046">
        <v>0</v>
      </c>
      <c r="F93" s="1046">
        <f t="shared" si="91"/>
        <v>0</v>
      </c>
      <c r="G93" s="1046">
        <v>0</v>
      </c>
      <c r="H93" s="1046">
        <f t="shared" si="103"/>
        <v>0</v>
      </c>
      <c r="I93" s="1046">
        <v>0</v>
      </c>
      <c r="J93" s="1046">
        <f t="shared" si="104"/>
        <v>0</v>
      </c>
      <c r="K93" s="1046">
        <v>0</v>
      </c>
      <c r="L93" s="1046">
        <f t="shared" si="105"/>
        <v>0</v>
      </c>
      <c r="M93" s="1046">
        <v>0</v>
      </c>
      <c r="N93" s="1046">
        <f t="shared" si="106"/>
        <v>0</v>
      </c>
      <c r="O93" s="1046">
        <v>0</v>
      </c>
      <c r="P93" s="1046">
        <f t="shared" si="107"/>
        <v>0</v>
      </c>
      <c r="Q93" s="1046">
        <v>0</v>
      </c>
      <c r="R93" s="1046">
        <f t="shared" si="108"/>
        <v>0</v>
      </c>
      <c r="S93" s="1046">
        <v>0</v>
      </c>
      <c r="T93" s="1046">
        <f t="shared" si="109"/>
        <v>0</v>
      </c>
      <c r="U93" s="1046">
        <v>0</v>
      </c>
      <c r="V93" s="1046">
        <f t="shared" si="110"/>
        <v>0</v>
      </c>
      <c r="W93" s="1046">
        <v>0</v>
      </c>
      <c r="X93" s="1046">
        <f t="shared" si="111"/>
        <v>0</v>
      </c>
      <c r="Y93" s="1046">
        <v>0</v>
      </c>
      <c r="Z93" s="1046">
        <f t="shared" si="112"/>
        <v>0</v>
      </c>
      <c r="AA93" s="1046">
        <v>0</v>
      </c>
      <c r="AB93" s="1046">
        <f t="shared" si="113"/>
        <v>0</v>
      </c>
    </row>
    <row r="94" spans="1:28" ht="24" customHeight="1" thickTop="1" thickBot="1" x14ac:dyDescent="0.3">
      <c r="A94" s="561" t="s">
        <v>590</v>
      </c>
      <c r="B94" s="561" t="s">
        <v>591</v>
      </c>
      <c r="C94" s="1050">
        <v>0</v>
      </c>
      <c r="D94" s="1051">
        <v>53960</v>
      </c>
      <c r="E94" s="1051">
        <v>0</v>
      </c>
      <c r="F94" s="1051">
        <f t="shared" si="91"/>
        <v>3753.7391304347825</v>
      </c>
      <c r="G94" s="1051">
        <v>0</v>
      </c>
      <c r="H94" s="1051">
        <f t="shared" si="103"/>
        <v>4457.565217391304</v>
      </c>
      <c r="I94" s="1051">
        <v>0</v>
      </c>
      <c r="J94" s="1051">
        <f t="shared" si="104"/>
        <v>5396</v>
      </c>
      <c r="K94" s="1051">
        <v>0</v>
      </c>
      <c r="L94" s="1051">
        <f t="shared" si="105"/>
        <v>4457.565217391304</v>
      </c>
      <c r="M94" s="1051">
        <v>0</v>
      </c>
      <c r="N94" s="1051">
        <f t="shared" si="106"/>
        <v>4926.782608695652</v>
      </c>
      <c r="O94" s="1051">
        <v>0</v>
      </c>
      <c r="P94" s="1051">
        <f t="shared" si="107"/>
        <v>5161.391304347826</v>
      </c>
      <c r="Q94" s="1051">
        <v>0</v>
      </c>
      <c r="R94" s="1051">
        <f t="shared" si="108"/>
        <v>4926.782608695652</v>
      </c>
      <c r="S94" s="1051">
        <v>0</v>
      </c>
      <c r="T94" s="1051">
        <f t="shared" si="109"/>
        <v>2815.304347826087</v>
      </c>
      <c r="U94" s="1051">
        <v>0</v>
      </c>
      <c r="V94" s="1051">
        <f t="shared" si="110"/>
        <v>5161.391304347826</v>
      </c>
      <c r="W94" s="1051">
        <v>0</v>
      </c>
      <c r="X94" s="1051">
        <f t="shared" si="111"/>
        <v>4692.173913043478</v>
      </c>
      <c r="Y94" s="1051">
        <v>0</v>
      </c>
      <c r="Z94" s="1051">
        <f t="shared" si="112"/>
        <v>4926.782608695652</v>
      </c>
      <c r="AA94" s="1051">
        <v>0</v>
      </c>
      <c r="AB94" s="1051">
        <f t="shared" si="113"/>
        <v>3284.521739130435</v>
      </c>
    </row>
    <row r="95" spans="1:28" ht="24" customHeight="1" thickTop="1" x14ac:dyDescent="0.25"/>
    <row r="96" spans="1:28" ht="24" customHeight="1" x14ac:dyDescent="0.25">
      <c r="B96" t="s">
        <v>727</v>
      </c>
      <c r="E96" s="1052">
        <f>F82+F83+F84+F85</f>
        <v>86260.869565217392</v>
      </c>
      <c r="G96" s="1052">
        <f>H82+H83+H84+H85</f>
        <v>102434.78260869565</v>
      </c>
      <c r="I96" s="1052">
        <f>J82+J83+J84+J85</f>
        <v>124000</v>
      </c>
      <c r="K96" s="1052">
        <f>L82+L83+L84+L85</f>
        <v>102434.78260869565</v>
      </c>
      <c r="M96" s="1052">
        <f>N82+N83+N84+N85</f>
        <v>113217.39130434782</v>
      </c>
      <c r="O96" s="1052">
        <f>P82+P83+P84+P85</f>
        <v>118608.69565217392</v>
      </c>
      <c r="Q96" s="1052">
        <f>R82+R83+R84+R85</f>
        <v>113217.39130434782</v>
      </c>
      <c r="S96" s="1052">
        <f>T82+T83+T84+T85</f>
        <v>64695.65217391304</v>
      </c>
      <c r="U96" s="1052">
        <f>V82+V83+V84+V85</f>
        <v>118608.69565217392</v>
      </c>
      <c r="W96" s="1052">
        <f>X82+X83+X84+X85</f>
        <v>107826.08695652174</v>
      </c>
      <c r="Y96" s="1052">
        <f>Z82+Z83+Z84+Z85</f>
        <v>113217.39130434782</v>
      </c>
      <c r="AA96" s="1052">
        <f>AB82+AB83+AB84+AB85</f>
        <v>75478.260869565216</v>
      </c>
    </row>
    <row r="97" spans="2:27" ht="24" customHeight="1" x14ac:dyDescent="0.25">
      <c r="B97" t="s">
        <v>592</v>
      </c>
      <c r="E97" s="563">
        <f>(E6)+(E60+E61+E62+E63+E64+E65+E66)</f>
        <v>41964.424173913038</v>
      </c>
      <c r="F97" s="563"/>
      <c r="G97" s="563">
        <f>(G6)+(G60+G61+G62+G63+G64+G65+G66)</f>
        <v>42026.164710144927</v>
      </c>
      <c r="H97" s="563"/>
      <c r="I97" s="563">
        <f>(I6)+(I60+I61+I62+I63+I64+I65+I66)</f>
        <v>42052.251666666663</v>
      </c>
      <c r="J97" s="563"/>
      <c r="K97" s="563">
        <f>(K6)+(K60+K61+K62+K63+K64+K65+K66)</f>
        <v>42026.164710144927</v>
      </c>
      <c r="L97" s="563"/>
      <c r="M97" s="563">
        <f>(M6)+(M60+M61+M62+M63+M64+M65+M66)</f>
        <v>42039.208188405792</v>
      </c>
      <c r="N97" s="563"/>
      <c r="O97" s="563">
        <f>(O6)+(O60+O61+O62+O63+O64+O65+O66)</f>
        <v>42045.729927536231</v>
      </c>
      <c r="P97" s="563"/>
      <c r="Q97" s="563">
        <f>(Q6)+(Q60+Q61+Q62+Q63+Q64+Q65+Q66)</f>
        <v>42039.208188405792</v>
      </c>
      <c r="R97" s="563"/>
      <c r="S97" s="563">
        <f>(S6)+(S60+S61+S62+S63+S64+S65+S66)</f>
        <v>41980.512536231879</v>
      </c>
      <c r="T97" s="563"/>
      <c r="U97" s="563">
        <f>(U6)+(U60+U61+U62+U63+U64+U65+U66)</f>
        <v>42045.729927536231</v>
      </c>
      <c r="V97" s="563"/>
      <c r="W97" s="563">
        <f>(W6)+(W60+W61+W62+W63+W64+W65+W66)</f>
        <v>42032.686449275359</v>
      </c>
      <c r="X97" s="563"/>
      <c r="Y97" s="563">
        <f>(Y6)+(Y60+Y61+Y62+Y63+Y64+Y65+Y66)</f>
        <v>42039.208188405792</v>
      </c>
      <c r="Z97" s="563"/>
      <c r="AA97" s="563">
        <f>(AA6)+(AA60+AA61+AA62+AA63+AA64+AA65+AA66)</f>
        <v>41993.556014492751</v>
      </c>
    </row>
    <row r="98" spans="2:27" ht="24" customHeight="1" x14ac:dyDescent="0.25">
      <c r="B98" t="s">
        <v>60</v>
      </c>
      <c r="E98" s="563">
        <f>E45+E46+E47+E48+E49</f>
        <v>12679.821217391303</v>
      </c>
      <c r="F98" s="563"/>
      <c r="G98" s="563">
        <f>G45+G46+G47+G48+G49</f>
        <v>15057.287695652172</v>
      </c>
      <c r="H98" s="563"/>
      <c r="I98" s="563">
        <f>I45+I46+I47+I48+I49</f>
        <v>18227.242999999999</v>
      </c>
      <c r="J98" s="563"/>
      <c r="K98" s="563">
        <f>K45+K46+K47+K48+K49</f>
        <v>15057.287695652172</v>
      </c>
      <c r="L98" s="563"/>
      <c r="M98" s="563">
        <f>M45+M46+M47+M48+M49</f>
        <v>16642.265347826087</v>
      </c>
      <c r="N98" s="563"/>
      <c r="O98" s="563">
        <f>O45+O46+O47+O48+O49</f>
        <v>17434.754173913043</v>
      </c>
      <c r="P98" s="563"/>
      <c r="Q98" s="563">
        <f>Q45+Q46+Q47+Q48+Q49</f>
        <v>16642.265347826087</v>
      </c>
      <c r="R98" s="563"/>
      <c r="S98" s="563">
        <f>S45+S46+S47+S48+S49</f>
        <v>9509.8659130434789</v>
      </c>
      <c r="T98" s="563"/>
      <c r="U98" s="563">
        <f>U45+U46+U47+U48+U49</f>
        <v>17434.754173913043</v>
      </c>
      <c r="V98" s="563"/>
      <c r="W98" s="563">
        <f>W45+W46+W47+W48+W49</f>
        <v>15849.776521739128</v>
      </c>
      <c r="X98" s="563"/>
      <c r="Y98" s="563">
        <f>Y45+Y46+Y47+Y48+Y49</f>
        <v>16642.265347826087</v>
      </c>
      <c r="Z98" s="563"/>
      <c r="AA98" s="563">
        <f>AA45+AA46+AA47+AA48+AA49</f>
        <v>11094.84356521739</v>
      </c>
    </row>
    <row r="99" spans="2:27" ht="24" customHeight="1" x14ac:dyDescent="0.25">
      <c r="B99" t="s">
        <v>728</v>
      </c>
      <c r="E99" s="563">
        <f>E76+E75+E77+E78+E79+E80+E81</f>
        <v>16124.999090909088</v>
      </c>
      <c r="F99" s="563"/>
      <c r="G99" s="563">
        <f>G76+G75+G77+G78+G79+G80+G81</f>
        <v>16124.999090909088</v>
      </c>
      <c r="H99" s="563"/>
      <c r="I99" s="563">
        <f>I76+I75+I77+I78+I79+I80+I81</f>
        <v>16124.999090909088</v>
      </c>
      <c r="J99" s="563"/>
      <c r="K99" s="563">
        <f>K76+K75+K77+K78+K79+K80+K81</f>
        <v>16124.999090909088</v>
      </c>
      <c r="L99" s="563"/>
      <c r="M99" s="563">
        <f>M76+M75+M77+M78+M79+M80+M81</f>
        <v>16124.999090909088</v>
      </c>
      <c r="N99" s="563"/>
      <c r="O99" s="563">
        <f>O76+O75+O77+O78+O79+O80+O81</f>
        <v>16124.999090909088</v>
      </c>
      <c r="P99" s="563"/>
      <c r="Q99" s="563">
        <f>Q76+Q75+Q77+Q78+Q79+Q80+Q81</f>
        <v>16124.999090909088</v>
      </c>
      <c r="R99" s="563"/>
      <c r="S99" s="563">
        <f>S76+S75+S77+S78+S79+S80+S81</f>
        <v>8062.4995454545442</v>
      </c>
      <c r="T99" s="563"/>
      <c r="U99" s="563">
        <f>U76+U75+U77+U78+U79+U80+U81</f>
        <v>16124.999090909088</v>
      </c>
      <c r="V99" s="563"/>
      <c r="W99" s="563">
        <f>W76+W75+W77+W78+W79+W80+W81</f>
        <v>16124.999090909088</v>
      </c>
      <c r="X99" s="563"/>
      <c r="Y99" s="563">
        <f>Y76+Y75+Y77+Y78+Y79+Y80+Y81</f>
        <v>16124.999090909088</v>
      </c>
      <c r="Z99" s="563"/>
      <c r="AA99" s="563">
        <f>AA76+AA75+AA77+AA78+AA79+AA80+AA81</f>
        <v>8062.4995454545442</v>
      </c>
    </row>
    <row r="100" spans="2:27" ht="24" customHeight="1" x14ac:dyDescent="0.25">
      <c r="B100" t="s">
        <v>593</v>
      </c>
      <c r="E100" s="563">
        <f>E15+E16+E17+E18+E19+E20+E22</f>
        <v>6365.217391304348</v>
      </c>
      <c r="F100" s="563"/>
      <c r="G100" s="563">
        <f>G15+G16+G17+G18+G19+G20+G22</f>
        <v>7558.6956521739139</v>
      </c>
      <c r="H100" s="563"/>
      <c r="I100" s="563">
        <f>I15+I16+I17+I18+I19+I20+I22</f>
        <v>9150</v>
      </c>
      <c r="J100" s="563"/>
      <c r="K100" s="563">
        <f>K15+K16+K17+K18+K19+K20+K22</f>
        <v>7558.6956521739139</v>
      </c>
      <c r="L100" s="563"/>
      <c r="M100" s="563">
        <f>M15+M16+M17+M18+M19+M20+M22</f>
        <v>8354.3478260869542</v>
      </c>
      <c r="N100" s="563"/>
      <c r="O100" s="563">
        <f>O15+O16+O17+O18+O19+O20+O22</f>
        <v>8752.1739130434798</v>
      </c>
      <c r="P100" s="563"/>
      <c r="Q100" s="563">
        <f>Q15+Q16+Q17+Q18+Q19+Q20+Q22</f>
        <v>8354.3478260869542</v>
      </c>
      <c r="R100" s="563"/>
      <c r="S100" s="563">
        <f>S15+S16+S17+S18+S19+S20+S22</f>
        <v>4773.9130434782601</v>
      </c>
      <c r="T100" s="563"/>
      <c r="U100" s="563">
        <f>U15+U16+U17+U18+U19+U20+U22</f>
        <v>8752.1739130434798</v>
      </c>
      <c r="V100" s="563"/>
      <c r="W100" s="563">
        <f>W15+W16+W17+W18+W19+W20+W22</f>
        <v>7956.521739130435</v>
      </c>
      <c r="X100" s="563"/>
      <c r="Y100" s="563">
        <f>Y15+Y16+Y17+Y18+Y19+Y20+Y22</f>
        <v>8354.3478260869542</v>
      </c>
      <c r="Z100" s="563"/>
      <c r="AA100" s="563">
        <f>AA15+AA16+AA17+AA18+AA19+AA20+AA22</f>
        <v>5569.565217391304</v>
      </c>
    </row>
    <row r="101" spans="2:27" ht="24" customHeight="1" x14ac:dyDescent="0.25">
      <c r="B101" t="s">
        <v>29</v>
      </c>
      <c r="E101" s="563">
        <f>E59+E57+E55+E54+E53+E51+E42+E41+E34+E35+E36+E37+E38+E39+E40+E33+E32+E31+E30+E29+E28+E27+E26+E24+E23+E13+E12+E10+E11+E14</f>
        <v>5806.5283478260872</v>
      </c>
      <c r="F101" s="563"/>
      <c r="G101" s="563">
        <f>G59+G57+G55+G54+G53+G51+G42+G41+G34+G35+G36+G37+G38+G39+G40+G33+G32+G31+G30+G29+G28+G27+G26+G24+G23+G13+G12+G10+G11+G14</f>
        <v>6454.1699130434781</v>
      </c>
      <c r="H101" s="563"/>
      <c r="I101" s="563">
        <f>I59+I57+I55+I54+I53+I51+I42+I41+I34+I35+I36+I37+I38+I39+I40+I33+I32+I31+I30+I29+I28+I27+I26+I24+I23+I13+I12+I10+I11+I14</f>
        <v>7317.6919999999991</v>
      </c>
      <c r="J101" s="563"/>
      <c r="K101" s="563">
        <f>K59+K57+K55+K54+K53+K51+K42+K41+K34+K35+K36+K37+K38+K39+K40+K33+K32+K31+K30+K29+K28+K27+K26+K24+K23+K13+K12+K10+K11+K14</f>
        <v>6454.1699130434781</v>
      </c>
      <c r="L101" s="563"/>
      <c r="M101" s="563">
        <f>M59+M57+M55+M54+M53+M51+M42+M41+M34+M35+M36+M37+M38+M39+M40+M33+M32+M31+M30+M29+M28+M27+M26+M24+M23+M13+M12+M10+M11+M14</f>
        <v>6885.93095652174</v>
      </c>
      <c r="N101" s="563"/>
      <c r="O101" s="563">
        <f>O59+O57+O55+O54+O53+O51+O42+O41+O34+O35+O36+O37+O38+O39+O40+O33+O32+O31+O30+O29+O28+O27+O26+O24+O23+O13+O12+O10+O11+O14</f>
        <v>7101.8114782608691</v>
      </c>
      <c r="P101" s="563"/>
      <c r="Q101" s="563">
        <f>Q59+Q57+Q55+Q54+Q53+Q51+Q42+Q41+Q34+Q35+Q36+Q37+Q38+Q39+Q40+Q33+Q32+Q31+Q30+Q29+Q28+Q27+Q26+Q24+Q23+Q13+Q12+Q10+Q11+Q14</f>
        <v>6885.93095652174</v>
      </c>
      <c r="R101" s="563"/>
      <c r="S101" s="563">
        <f>S59+S57+S55+S54+S53+S51+S42+S41+S34+S35+S36+S37+S38+S39+S40+S33+S32+S31+S30+S29+S28+S27+S26+S24+S23+S13+S12+S10+S11+S14</f>
        <v>4943.0062608695644</v>
      </c>
      <c r="T101" s="563"/>
      <c r="U101" s="563">
        <f>U59+U57+U55+U54+U53+U51+U42+U41+U34+U35+U36+U37+U38+U39+U40+U33+U32+U31+U30+U29+U28+U27+U26+U24+U23+U13+U12+U10+U11+U14</f>
        <v>7101.8114782608691</v>
      </c>
      <c r="V101" s="563"/>
      <c r="W101" s="563">
        <f>W59+W57+W55+W54+W53+W51+W42+W41+W34+W35+W36+W37+W38+W39+W40+W33+W32+W31+W30+W29+W28+W27+W26+W24+W23+W13+W12+W10+W11+W14</f>
        <v>6670.0504347826081</v>
      </c>
      <c r="X101" s="563"/>
      <c r="Y101" s="563">
        <f>Y59+Y57+Y55+Y54+Y53+Y51+Y42+Y41+Y34+Y35+Y36+Y37+Y38+Y39+Y40+Y33+Y32+Y31+Y30+Y29+Y28+Y27+Y26+Y24+Y23+Y13+Y12+Y10+Y11+Y14</f>
        <v>6885.93095652174</v>
      </c>
      <c r="Z101" s="563"/>
      <c r="AA101" s="563">
        <f>AA59+AA57+AA55+AA54+AA53+AA51+AA42+AA41+AA34+AA35+AA36+AA37+AA38+AA39+AA40+AA33+AA32+AA31+AA30+AA29+AA28+AA27+AA26+AA24+AA23+AA13+AA12+AA10+AA11+AA14</f>
        <v>5374.7673043478262</v>
      </c>
    </row>
    <row r="102" spans="2:27" ht="24" customHeight="1" x14ac:dyDescent="0.25">
      <c r="B102" t="s">
        <v>729</v>
      </c>
      <c r="E102" s="1052">
        <f>SUM(E26:E39)</f>
        <v>918.95999999999992</v>
      </c>
      <c r="G102" s="1052">
        <f>SUM(G26:G39)</f>
        <v>918.95999999999992</v>
      </c>
      <c r="I102" s="1052">
        <f>SUM(I26:I39)</f>
        <v>918.95999999999992</v>
      </c>
      <c r="K102" s="1052">
        <f>SUM(K26:K39)</f>
        <v>918.95999999999992</v>
      </c>
      <c r="M102" s="1052">
        <f>SUM(M26:M39)</f>
        <v>918.95999999999992</v>
      </c>
      <c r="O102" s="1052">
        <f>SUM(O26:O39)</f>
        <v>918.95999999999992</v>
      </c>
      <c r="Q102" s="1052">
        <f>SUM(Q26:Q39)</f>
        <v>918.95999999999992</v>
      </c>
      <c r="S102" s="1052">
        <f>SUM(S26:S39)</f>
        <v>918.95999999999992</v>
      </c>
      <c r="U102" s="1052">
        <f>SUM(U26:U39)</f>
        <v>918.95999999999992</v>
      </c>
      <c r="W102" s="1052">
        <f>SUM(W26:W39)</f>
        <v>918.95999999999992</v>
      </c>
      <c r="Y102" s="1052">
        <f>SUM(Y26:Y39)</f>
        <v>918.95999999999992</v>
      </c>
      <c r="AA102" s="1052">
        <f>SUM(AA26:AA39)</f>
        <v>918.95999999999992</v>
      </c>
    </row>
    <row r="103" spans="2:27" ht="24" customHeight="1" x14ac:dyDescent="0.25">
      <c r="B103" t="s">
        <v>730</v>
      </c>
      <c r="E103" s="1052">
        <f>E12+E13+E10+E11+E14</f>
        <v>2059.566956521739</v>
      </c>
      <c r="G103" s="1052">
        <f>G12+G13+G10+G11+G14</f>
        <v>2176.9582608695655</v>
      </c>
      <c r="I103" s="1052">
        <f>I12+I13+I10+I11+I14</f>
        <v>2333.48</v>
      </c>
      <c r="K103" s="1052">
        <f>K12+K13+K10+K11+K14</f>
        <v>2176.9582608695655</v>
      </c>
      <c r="M103" s="1052">
        <f>M12+M13+M10+M11+M14</f>
        <v>2255.2191304347825</v>
      </c>
      <c r="O103" s="1052">
        <f>O12+O13+O10+O11+O14</f>
        <v>2294.3495652173915</v>
      </c>
      <c r="Q103" s="1052">
        <f>Q12+Q13+Q10+Q11+Q14</f>
        <v>2255.2191304347825</v>
      </c>
      <c r="S103" s="1052">
        <f>S12+S13+S10+S11+S14</f>
        <v>1903.0452173913045</v>
      </c>
      <c r="U103" s="1052">
        <f>U12+U13+U10+U11+U14</f>
        <v>2294.3495652173915</v>
      </c>
      <c r="W103" s="1052">
        <f>W12+W13+W10+W11+W14</f>
        <v>2216.088695652174</v>
      </c>
      <c r="Y103" s="1052">
        <f>Y12+Y13+Y10+Y11+Y14</f>
        <v>2255.2191304347825</v>
      </c>
      <c r="AA103" s="1052">
        <f>AA12+AA13+AA10+AA11+AA14</f>
        <v>1981.3060869565218</v>
      </c>
    </row>
    <row r="104" spans="2:27" ht="24" customHeight="1" x14ac:dyDescent="0.25">
      <c r="B104" t="s">
        <v>518</v>
      </c>
      <c r="E104" s="1052">
        <f>E51+E53+E54+E55+E56+E57</f>
        <v>6741.3926956521736</v>
      </c>
      <c r="G104" s="1052">
        <f>G51+G53+G54+G55+G56+G57</f>
        <v>7067.9038260869565</v>
      </c>
      <c r="I104" s="1052">
        <f>I51+I53+I54+I55+I56+I57</f>
        <v>7503.2520000000004</v>
      </c>
      <c r="K104" s="1052">
        <f>K51+K53+K54+K55+K56+K57</f>
        <v>7067.9038260869565</v>
      </c>
      <c r="M104" s="1052">
        <f>M51+M53+M54+M55+M56+M57</f>
        <v>7285.5779130434785</v>
      </c>
      <c r="O104" s="1052">
        <f>O51+O53+O54+O55+O56+O57</f>
        <v>7394.4149565217394</v>
      </c>
      <c r="Q104" s="1052">
        <f>Q51+Q53+Q54+Q55+Q56+Q57</f>
        <v>7285.5779130434785</v>
      </c>
      <c r="S104" s="1052">
        <f>S51+S53+S54+S55+S56+S57</f>
        <v>1306.0445217391302</v>
      </c>
      <c r="U104" s="1052">
        <f>U51+U53+U54+U55+U56+U57</f>
        <v>7394.4149565217394</v>
      </c>
      <c r="W104" s="1052">
        <f>W51+W53+W54+W55+W56+W57</f>
        <v>7176.7408695652175</v>
      </c>
      <c r="Y104" s="1052">
        <f>Y51+Y53+Y54+Y55+Y56+Y57</f>
        <v>7285.5779130434785</v>
      </c>
      <c r="AA104" s="1052">
        <f>AA51+AA53+AA54+AA55+AA56+AA57</f>
        <v>1523.7186086956522</v>
      </c>
    </row>
  </sheetData>
  <mergeCells count="2">
    <mergeCell ref="B1:D1"/>
    <mergeCell ref="A2:B2"/>
  </mergeCells>
  <pageMargins left="0.70866141732283472" right="0.70866141732283472" top="0.74803149606299213" bottom="0.74803149606299213" header="0.31496062992125984" footer="0.31496062992125984"/>
  <pageSetup paperSize="8" scale="39" fitToHeight="2" orientation="landscape" r:id="rId1"/>
  <ignoredErrors>
    <ignoredError sqref="E10:U10 E11:U11 F8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C000"/>
  </sheetPr>
  <dimension ref="B1:AO143"/>
  <sheetViews>
    <sheetView topLeftCell="A112" zoomScale="70" zoomScaleNormal="70" workbookViewId="0">
      <selection activeCell="P133" sqref="P133"/>
    </sheetView>
  </sheetViews>
  <sheetFormatPr baseColWidth="10" defaultRowHeight="15" x14ac:dyDescent="0.25"/>
  <cols>
    <col min="2" max="2" width="27.28515625" customWidth="1"/>
    <col min="3" max="9" width="12.7109375" customWidth="1"/>
    <col min="10" max="10" width="12" bestFit="1" customWidth="1"/>
    <col min="11" max="11" width="16.42578125" bestFit="1" customWidth="1"/>
    <col min="12" max="12" width="13" bestFit="1" customWidth="1"/>
    <col min="13" max="13" width="15.42578125" bestFit="1" customWidth="1"/>
    <col min="14" max="14" width="14.28515625" bestFit="1" customWidth="1"/>
  </cols>
  <sheetData>
    <row r="1" spans="2:41" ht="15" customHeight="1" x14ac:dyDescent="0.25">
      <c r="R1" s="1654" t="s">
        <v>75</v>
      </c>
      <c r="S1" s="1654"/>
      <c r="W1" s="1668" t="s">
        <v>76</v>
      </c>
      <c r="X1" s="1669"/>
      <c r="Y1" s="1669"/>
      <c r="Z1" s="1669"/>
      <c r="AC1" s="1668" t="s">
        <v>77</v>
      </c>
      <c r="AD1" s="1669"/>
      <c r="AE1" s="1669"/>
      <c r="AF1" s="1669"/>
      <c r="AI1" s="1654" t="s">
        <v>78</v>
      </c>
      <c r="AJ1" s="1654"/>
      <c r="AK1" s="1654"/>
      <c r="AL1" s="1654"/>
      <c r="AM1" s="1654"/>
      <c r="AN1" s="1654"/>
      <c r="AO1" s="1654"/>
    </row>
    <row r="3" spans="2:41" ht="15.75" thickBot="1" x14ac:dyDescent="0.3"/>
    <row r="4" spans="2:41" ht="27.75" thickTop="1" thickBot="1" x14ac:dyDescent="0.3">
      <c r="E4" s="1655" t="s">
        <v>18</v>
      </c>
      <c r="F4" s="1656"/>
      <c r="G4" s="1656"/>
      <c r="H4" s="1656"/>
      <c r="I4" s="1657"/>
    </row>
    <row r="5" spans="2:41" ht="15.75" thickTop="1" x14ac:dyDescent="0.25"/>
    <row r="6" spans="2:41" ht="15.75" thickBot="1" x14ac:dyDescent="0.3">
      <c r="B6" s="5" t="s">
        <v>1060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DATOS!C$30</f>
        <v>2.47E-2</v>
      </c>
      <c r="D7" s="3">
        <f>DATOS!E$30</f>
        <v>1.6000000000000001E-3</v>
      </c>
      <c r="E7" s="3">
        <f>DATOS!G$30</f>
        <v>6.1000000000000004E-3</v>
      </c>
      <c r="F7" s="3">
        <f>DATOS!I$30</f>
        <v>1.0999999999999999E-2</v>
      </c>
      <c r="G7" s="3">
        <f>DATOS!K$30</f>
        <v>0</v>
      </c>
      <c r="H7" s="3">
        <f>DATOS!M$30</f>
        <v>2.9999999999999997E-4</v>
      </c>
      <c r="I7" s="3">
        <f>DATOS!O$30</f>
        <v>2.0000000000000001E-4</v>
      </c>
      <c r="J7" s="3">
        <f>DATOS!Q$30</f>
        <v>8.0999999999999996E-3</v>
      </c>
      <c r="K7" s="3">
        <f>DATOS!S$30</f>
        <v>3.9600000000000003E-2</v>
      </c>
      <c r="L7" s="3">
        <f>DATOS!U$30</f>
        <v>3.85E-2</v>
      </c>
      <c r="M7" s="3">
        <f>DATOS!W$30</f>
        <v>4.53E-2</v>
      </c>
      <c r="N7" s="3">
        <f>DATOS!Y$30</f>
        <v>3.8899999999999997E-2</v>
      </c>
    </row>
    <row r="8" spans="2:41" x14ac:dyDescent="0.25">
      <c r="B8" s="1" t="s">
        <v>1104</v>
      </c>
      <c r="C8" s="4">
        <f>DATOS!C$31</f>
        <v>0</v>
      </c>
      <c r="D8" s="4">
        <f>DATOS!E$31</f>
        <v>0</v>
      </c>
      <c r="E8" s="4">
        <f>DATOS!G$31</f>
        <v>0</v>
      </c>
      <c r="F8" s="4">
        <f>DATOS!I$31</f>
        <v>0</v>
      </c>
      <c r="G8" s="4">
        <f>DATOS!K$31</f>
        <v>0</v>
      </c>
      <c r="H8" s="4">
        <f>DATOS!M$31</f>
        <v>0</v>
      </c>
      <c r="I8" s="4">
        <f>DATOS!O$31</f>
        <v>1.4500000000000001E-2</v>
      </c>
      <c r="J8" s="4">
        <f>DATOS!Q$31</f>
        <v>2.0000000000000001E-4</v>
      </c>
      <c r="K8" s="4">
        <f>DATOS!S$31</f>
        <v>2.8999999999999998E-3</v>
      </c>
      <c r="L8" s="4">
        <f>DATOS!U$31</f>
        <v>3.0999999999999999E-3</v>
      </c>
      <c r="M8" s="4">
        <f>DATOS!W$31</f>
        <v>0</v>
      </c>
      <c r="N8" s="4">
        <f>DATOS!Y$31</f>
        <v>2.0000000000000001E-4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>
        <f>DATOS!C$32</f>
        <v>0</v>
      </c>
      <c r="D11" s="4">
        <f>DATOS!E$32</f>
        <v>0</v>
      </c>
      <c r="E11" s="4">
        <f>DATOS!G$32</f>
        <v>0</v>
      </c>
      <c r="F11" s="4">
        <f>DATOS!I$32</f>
        <v>0</v>
      </c>
      <c r="G11" s="4">
        <f>DATOS!K$32</f>
        <v>0</v>
      </c>
      <c r="H11" s="4">
        <f>DATOS!M$32</f>
        <v>0</v>
      </c>
      <c r="I11" s="4">
        <f>DATOS!O$32</f>
        <v>0</v>
      </c>
      <c r="J11" s="4">
        <f>DATOS!Q$32</f>
        <v>0</v>
      </c>
      <c r="K11" s="4">
        <f>DATOS!S$32</f>
        <v>0</v>
      </c>
      <c r="L11" s="4">
        <f>DATOS!U$32</f>
        <v>0</v>
      </c>
      <c r="M11" s="4">
        <f>DATOS!W$32</f>
        <v>0</v>
      </c>
      <c r="N11" s="4">
        <f>DATOS!Y$32</f>
        <v>0</v>
      </c>
    </row>
    <row r="12" spans="2:41" x14ac:dyDescent="0.25">
      <c r="B12" s="1" t="s">
        <v>126</v>
      </c>
      <c r="C12" s="4">
        <f>DATOS!C$33</f>
        <v>0.25</v>
      </c>
      <c r="D12" s="4">
        <f>DATOS!E$33</f>
        <v>0.20419999999999999</v>
      </c>
      <c r="E12" s="4">
        <f>DATOS!G$33</f>
        <v>0</v>
      </c>
      <c r="F12" s="4">
        <f>DATOS!I$33</f>
        <v>1E-3</v>
      </c>
      <c r="G12" s="4">
        <f>DATOS!K$33</f>
        <v>5.0500000000000003E-2</v>
      </c>
      <c r="H12" s="4">
        <f>DATOS!M$33</f>
        <v>1.5E-3</v>
      </c>
      <c r="I12" s="4">
        <f>DATOS!O$33</f>
        <v>0</v>
      </c>
      <c r="J12" s="4">
        <f>DATOS!Q$33</f>
        <v>0</v>
      </c>
      <c r="K12" s="4">
        <f>DATOS!S$33</f>
        <v>0</v>
      </c>
      <c r="L12" s="4">
        <f>DATOS!U$33</f>
        <v>0</v>
      </c>
      <c r="M12" s="4">
        <f>DATOS!W$33</f>
        <v>0</v>
      </c>
      <c r="N12" s="4">
        <f>DATOS!Y$33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4">
        <f>DATOS!C$34</f>
        <v>2.75E-2</v>
      </c>
      <c r="D17" s="4">
        <f>DATOS!E$34</f>
        <v>8.3999999999999995E-3</v>
      </c>
      <c r="E17" s="4">
        <f>DATOS!G$34</f>
        <v>6.0000000000000001E-3</v>
      </c>
      <c r="F17" s="4">
        <f>DATOS!I$34</f>
        <v>0.01</v>
      </c>
      <c r="G17" s="4">
        <f>DATOS!K$34</f>
        <v>4.5999999999999999E-3</v>
      </c>
      <c r="H17" s="4">
        <f>DATOS!M$34</f>
        <v>4.0000000000000002E-4</v>
      </c>
      <c r="I17" s="4">
        <f>DATOS!O$34</f>
        <v>3.8999999999999998E-3</v>
      </c>
      <c r="J17" s="4">
        <f>DATOS!Q$34</f>
        <v>6.1000000000000004E-3</v>
      </c>
      <c r="K17" s="4">
        <f>DATOS!S$34</f>
        <v>3.0599999999999999E-2</v>
      </c>
      <c r="L17" s="4">
        <f>DATOS!U$34</f>
        <v>3.0200000000000001E-2</v>
      </c>
      <c r="M17" s="4">
        <f>DATOS!W$34</f>
        <v>3.6299999999999999E-2</v>
      </c>
      <c r="N17" s="4">
        <f>DATOS!Y$34</f>
        <v>3.15E-2</v>
      </c>
      <c r="R17" s="1654" t="s">
        <v>29</v>
      </c>
      <c r="S17" s="1654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DATOS!G35</f>
        <v>1.35E-2</v>
      </c>
      <c r="F19" s="78"/>
      <c r="G19" s="78"/>
      <c r="H19" s="79">
        <f>DATOS!M35</f>
        <v>4.7999999999999996E-3</v>
      </c>
      <c r="I19" s="78"/>
      <c r="J19" s="78"/>
      <c r="K19" s="79">
        <f>DATOS!S35</f>
        <v>1.3599999999999999E-2</v>
      </c>
      <c r="L19" s="78"/>
      <c r="M19" s="78"/>
      <c r="N19" s="79">
        <f>DATOS!Y35</f>
        <v>3.2599999999999997E-2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4.65E-2</v>
      </c>
      <c r="F21" s="10"/>
      <c r="G21" s="10"/>
      <c r="H21" s="9">
        <f>H20-H19</f>
        <v>5.5199999999999999E-2</v>
      </c>
      <c r="I21" s="10"/>
      <c r="J21" s="9"/>
      <c r="K21" s="9">
        <f>K20-K19</f>
        <v>4.6399999999999997E-2</v>
      </c>
      <c r="L21" s="10"/>
      <c r="M21" s="9"/>
      <c r="N21" s="9">
        <f>N20-N19</f>
        <v>2.7400000000000001E-2</v>
      </c>
    </row>
    <row r="22" spans="2:19" ht="15.75" thickBot="1" x14ac:dyDescent="0.3"/>
    <row r="23" spans="2:19" ht="27.75" thickTop="1" thickBot="1" x14ac:dyDescent="0.45">
      <c r="E23" s="1658" t="s">
        <v>19</v>
      </c>
      <c r="F23" s="1659"/>
      <c r="G23" s="1659"/>
      <c r="H23" s="1659"/>
      <c r="I23" s="1660"/>
    </row>
    <row r="24" spans="2:19" ht="15.75" thickTop="1" x14ac:dyDescent="0.25"/>
    <row r="25" spans="2:19" ht="15.75" thickBot="1" x14ac:dyDescent="0.3">
      <c r="B25" s="20" t="s">
        <v>1060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SUM(DATOS!C$23:C$25)</f>
        <v>33</v>
      </c>
      <c r="D26" s="15">
        <f>SUM(DATOS!E$23:E$25)</f>
        <v>34.25</v>
      </c>
      <c r="E26" s="15">
        <f>SUM(DATOS!G$23:G$25)</f>
        <v>33.549999999999997</v>
      </c>
      <c r="F26" s="15">
        <f>SUM(DATOS!I$23:I$25)</f>
        <v>32</v>
      </c>
      <c r="G26" s="15">
        <f>SUM(DATOS!K$23:K$25)</f>
        <v>32.629999999999995</v>
      </c>
      <c r="H26" s="15">
        <f>SUM(DATOS!M$23:M$25)</f>
        <v>34.863</v>
      </c>
      <c r="I26" s="15">
        <f>SUM(DATOS!O$23:O$25)</f>
        <v>38.080000000000005</v>
      </c>
      <c r="J26" s="15">
        <f>SUM(DATOS!Q$23:Q$25)</f>
        <v>37.5</v>
      </c>
      <c r="K26" s="15">
        <f>SUM(DATOS!S$23:S$25)</f>
        <v>38.5</v>
      </c>
      <c r="L26" s="15">
        <f>SUM(DATOS!U$23:U$25)</f>
        <v>38.22</v>
      </c>
      <c r="M26" s="15">
        <f>SUM(DATOS!W$23:W$25)</f>
        <v>37.65</v>
      </c>
      <c r="N26" s="15">
        <f>SUM(DATOS!Y$23:Y$25)</f>
        <v>36.880000000000003</v>
      </c>
    </row>
    <row r="27" spans="2:19" x14ac:dyDescent="0.25">
      <c r="B27" s="12" t="s">
        <v>22</v>
      </c>
      <c r="C27" s="16">
        <f>DATOS!C$25</f>
        <v>2.5</v>
      </c>
      <c r="D27" s="16">
        <f>DATOS!E$25</f>
        <v>2.5</v>
      </c>
      <c r="E27" s="16">
        <f>DATOS!G$25</f>
        <v>2.5</v>
      </c>
      <c r="F27" s="16">
        <f>DATOS!I$25</f>
        <v>2.5</v>
      </c>
      <c r="G27" s="16">
        <f>DATOS!K$25</f>
        <v>2.5</v>
      </c>
      <c r="H27" s="16">
        <f>DATOS!M$25</f>
        <v>2.5</v>
      </c>
      <c r="I27" s="16">
        <f>DATOS!O$25</f>
        <v>2.5</v>
      </c>
      <c r="J27" s="16">
        <f>DATOS!Q$25</f>
        <v>2.5</v>
      </c>
      <c r="K27" s="16">
        <f>DATOS!S$25</f>
        <v>2.5</v>
      </c>
      <c r="L27" s="16">
        <f>DATOS!U$25</f>
        <v>2.5</v>
      </c>
      <c r="M27" s="16">
        <f>DATOS!W$25</f>
        <v>2.5</v>
      </c>
      <c r="N27" s="16">
        <f>DATOS!Y$25</f>
        <v>2.5</v>
      </c>
    </row>
    <row r="28" spans="2:19" ht="18.75" x14ac:dyDescent="0.3">
      <c r="B28" s="77" t="s">
        <v>27</v>
      </c>
      <c r="C28" s="368">
        <f>(C$27/C$26)</f>
        <v>7.575757575757576E-2</v>
      </c>
      <c r="D28" s="368">
        <f t="shared" ref="D28:N28" si="0">(D$27/D$26)</f>
        <v>7.2992700729927001E-2</v>
      </c>
      <c r="E28" s="368">
        <f t="shared" si="0"/>
        <v>7.4515648286140101E-2</v>
      </c>
      <c r="F28" s="368">
        <f t="shared" si="0"/>
        <v>7.8125E-2</v>
      </c>
      <c r="G28" s="368">
        <f t="shared" si="0"/>
        <v>7.6616610481152328E-2</v>
      </c>
      <c r="H28" s="368">
        <f t="shared" si="0"/>
        <v>7.1709261968275817E-2</v>
      </c>
      <c r="I28" s="368">
        <f t="shared" si="0"/>
        <v>6.5651260504201669E-2</v>
      </c>
      <c r="J28" s="368">
        <f t="shared" si="0"/>
        <v>6.6666666666666666E-2</v>
      </c>
      <c r="K28" s="368">
        <f t="shared" si="0"/>
        <v>6.4935064935064929E-2</v>
      </c>
      <c r="L28" s="368">
        <f t="shared" si="0"/>
        <v>6.541077969649399E-2</v>
      </c>
      <c r="M28" s="368">
        <f t="shared" si="0"/>
        <v>6.6401062416998669E-2</v>
      </c>
      <c r="N28" s="368">
        <f t="shared" si="0"/>
        <v>6.7787418655097603E-2</v>
      </c>
      <c r="R28" s="1654" t="s">
        <v>30</v>
      </c>
      <c r="S28" s="1654"/>
    </row>
    <row r="29" spans="2:19" x14ac:dyDescent="0.25">
      <c r="B29" s="1" t="s">
        <v>20</v>
      </c>
      <c r="C29" s="369">
        <v>0.15</v>
      </c>
      <c r="D29" s="369">
        <v>0.15</v>
      </c>
      <c r="E29" s="369">
        <v>0.15</v>
      </c>
      <c r="F29" s="369">
        <v>0.15</v>
      </c>
      <c r="G29" s="369">
        <v>0.15</v>
      </c>
      <c r="H29" s="369">
        <v>0.15</v>
      </c>
      <c r="I29" s="369">
        <v>0.15</v>
      </c>
      <c r="J29" s="369">
        <v>0.15</v>
      </c>
      <c r="K29" s="369">
        <v>0.15</v>
      </c>
      <c r="L29" s="369">
        <v>0.15</v>
      </c>
      <c r="M29" s="369">
        <v>0.15</v>
      </c>
      <c r="N29" s="369">
        <v>0.15</v>
      </c>
    </row>
    <row r="30" spans="2:19" x14ac:dyDescent="0.25">
      <c r="B30" s="8" t="s">
        <v>17</v>
      </c>
      <c r="C30" s="9">
        <f>C29-C28</f>
        <v>7.4242424242424235E-2</v>
      </c>
      <c r="D30" s="9">
        <f t="shared" ref="D30:N30" si="1">D29-D28</f>
        <v>7.7007299270072993E-2</v>
      </c>
      <c r="E30" s="9">
        <f t="shared" si="1"/>
        <v>7.5484351713859893E-2</v>
      </c>
      <c r="F30" s="9">
        <f t="shared" si="1"/>
        <v>7.1874999999999994E-2</v>
      </c>
      <c r="G30" s="9">
        <f t="shared" si="1"/>
        <v>7.3383389518847666E-2</v>
      </c>
      <c r="H30" s="9">
        <f t="shared" si="1"/>
        <v>7.8290738031724177E-2</v>
      </c>
      <c r="I30" s="9">
        <f t="shared" si="1"/>
        <v>8.4348739495798325E-2</v>
      </c>
      <c r="J30" s="9">
        <f t="shared" si="1"/>
        <v>8.3333333333333329E-2</v>
      </c>
      <c r="K30" s="9">
        <f t="shared" si="1"/>
        <v>8.5064935064935066E-2</v>
      </c>
      <c r="L30" s="9">
        <f t="shared" si="1"/>
        <v>8.4589220303506005E-2</v>
      </c>
      <c r="M30" s="9">
        <f t="shared" si="1"/>
        <v>8.3598937583001326E-2</v>
      </c>
      <c r="N30" s="9">
        <f t="shared" si="1"/>
        <v>8.2212581344902391E-2</v>
      </c>
    </row>
    <row r="31" spans="2:19" ht="15.75" thickBot="1" x14ac:dyDescent="0.3"/>
    <row r="32" spans="2:19" ht="27.75" thickTop="1" thickBot="1" x14ac:dyDescent="0.45">
      <c r="E32" s="1658" t="s">
        <v>23</v>
      </c>
      <c r="F32" s="1659"/>
      <c r="G32" s="1659"/>
      <c r="H32" s="1659"/>
      <c r="I32" s="1660"/>
    </row>
    <row r="33" spans="2:20" ht="15.75" thickTop="1" x14ac:dyDescent="0.25"/>
    <row r="34" spans="2:20" ht="15.75" thickBot="1" x14ac:dyDescent="0.3">
      <c r="B34" s="20" t="s">
        <v>1060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DATOS!C$26</f>
        <v>33</v>
      </c>
      <c r="D35" s="15">
        <f>DATOS!E$26</f>
        <v>34.25</v>
      </c>
      <c r="E35" s="15">
        <f>DATOS!G$26</f>
        <v>33.549999999999997</v>
      </c>
      <c r="F35" s="15">
        <f>DATOS!I$26</f>
        <v>32</v>
      </c>
      <c r="G35" s="15">
        <f>DATOS!K$26</f>
        <v>32.629999999999995</v>
      </c>
      <c r="H35" s="15">
        <f>DATOS!M$26</f>
        <v>34.863</v>
      </c>
      <c r="I35" s="15">
        <f>DATOS!O$26</f>
        <v>38.080000000000005</v>
      </c>
      <c r="J35" s="15">
        <f>DATOS!Q$26</f>
        <v>37.5</v>
      </c>
      <c r="K35" s="15">
        <f>DATOS!S$26</f>
        <v>38.5</v>
      </c>
      <c r="L35" s="15">
        <f>DATOS!U$26</f>
        <v>38.22</v>
      </c>
      <c r="M35" s="15">
        <f>DATOS!W$26</f>
        <v>37.65</v>
      </c>
      <c r="N35" s="15">
        <f>DATOS!Y$26</f>
        <v>36.880000000000003</v>
      </c>
    </row>
    <row r="36" spans="2:20" x14ac:dyDescent="0.25">
      <c r="B36" s="12" t="s">
        <v>24</v>
      </c>
      <c r="C36" s="14">
        <f>DATOS!C$27</f>
        <v>18</v>
      </c>
      <c r="D36" s="14">
        <f>DATOS!E$27</f>
        <v>19.25</v>
      </c>
      <c r="E36" s="14">
        <f>DATOS!G$27</f>
        <v>20</v>
      </c>
      <c r="F36" s="14">
        <f>DATOS!I$27</f>
        <v>20</v>
      </c>
      <c r="G36" s="14">
        <f>DATOS!K$27</f>
        <v>20</v>
      </c>
      <c r="H36" s="14">
        <f>DATOS!M$27</f>
        <v>20</v>
      </c>
      <c r="I36" s="14">
        <f>DATOS!O$27</f>
        <v>20</v>
      </c>
      <c r="J36" s="14">
        <f>DATOS!Q$27</f>
        <v>20</v>
      </c>
      <c r="K36" s="14">
        <f>DATOS!S$27</f>
        <v>20</v>
      </c>
      <c r="L36" s="14">
        <f>DATOS!U$27</f>
        <v>20</v>
      </c>
      <c r="M36" s="14">
        <f>DATOS!W$27</f>
        <v>20</v>
      </c>
      <c r="N36" s="14">
        <f>DATOS!Y$27</f>
        <v>20</v>
      </c>
    </row>
    <row r="37" spans="2:20" x14ac:dyDescent="0.25">
      <c r="B37" s="12" t="s">
        <v>73</v>
      </c>
      <c r="C37" s="366">
        <f>(C$36/C$35)</f>
        <v>0.54545454545454541</v>
      </c>
      <c r="D37" s="366">
        <f t="shared" ref="D37:N37" si="2">(D$36/D$35)</f>
        <v>0.56204379562043794</v>
      </c>
      <c r="E37" s="366">
        <f t="shared" si="2"/>
        <v>0.59612518628912081</v>
      </c>
      <c r="F37" s="366">
        <f t="shared" si="2"/>
        <v>0.625</v>
      </c>
      <c r="G37" s="366">
        <f t="shared" si="2"/>
        <v>0.61293288384921862</v>
      </c>
      <c r="H37" s="366">
        <f t="shared" si="2"/>
        <v>0.57367409574620654</v>
      </c>
      <c r="I37" s="366">
        <f t="shared" si="2"/>
        <v>0.52521008403361336</v>
      </c>
      <c r="J37" s="366">
        <f t="shared" si="2"/>
        <v>0.53333333333333333</v>
      </c>
      <c r="K37" s="366">
        <f t="shared" si="2"/>
        <v>0.51948051948051943</v>
      </c>
      <c r="L37" s="366">
        <f t="shared" si="2"/>
        <v>0.52328623757195192</v>
      </c>
      <c r="M37" s="366">
        <f t="shared" si="2"/>
        <v>0.53120849933598935</v>
      </c>
      <c r="N37" s="366">
        <f t="shared" si="2"/>
        <v>0.54229934924078083</v>
      </c>
    </row>
    <row r="38" spans="2:20" ht="18.75" x14ac:dyDescent="0.3">
      <c r="B38" s="77" t="s">
        <v>27</v>
      </c>
      <c r="C38" s="80"/>
      <c r="D38" s="80"/>
      <c r="E38" s="368">
        <f>(C36+D36+E36)/(C35+D35+E35)</f>
        <v>0.56795634920634919</v>
      </c>
      <c r="F38" s="80"/>
      <c r="G38" s="80"/>
      <c r="H38" s="368">
        <f>(F36+G36+H36)/(F35+G35+H35)</f>
        <v>0.60305750153277116</v>
      </c>
      <c r="I38" s="80"/>
      <c r="J38" s="80"/>
      <c r="K38" s="368">
        <f>(I36+J36+K36)/(I35+J35+K35)</f>
        <v>0.52594670406732114</v>
      </c>
      <c r="L38" s="80"/>
      <c r="M38" s="80"/>
      <c r="N38" s="368">
        <f>(L36+M36+N36)/(L35+M35+N35)</f>
        <v>0.53215077605321504</v>
      </c>
    </row>
    <row r="39" spans="2:20" x14ac:dyDescent="0.25">
      <c r="B39" s="1" t="s">
        <v>20</v>
      </c>
      <c r="C39" s="18"/>
      <c r="D39" s="18"/>
      <c r="E39" s="369">
        <v>0.6</v>
      </c>
      <c r="F39" s="18"/>
      <c r="G39" s="18"/>
      <c r="H39" s="369">
        <v>0.6</v>
      </c>
      <c r="I39" s="18"/>
      <c r="J39" s="18"/>
      <c r="K39" s="369">
        <v>0.6</v>
      </c>
      <c r="L39" s="18"/>
      <c r="M39" s="18"/>
      <c r="N39" s="369">
        <v>0.6</v>
      </c>
    </row>
    <row r="40" spans="2:20" x14ac:dyDescent="0.25">
      <c r="B40" s="1" t="s">
        <v>17</v>
      </c>
      <c r="C40" s="36"/>
      <c r="D40" s="36"/>
      <c r="E40" s="369">
        <f>E39-E38</f>
        <v>3.2043650793650791E-2</v>
      </c>
      <c r="F40" s="36"/>
      <c r="G40" s="36"/>
      <c r="H40" s="369">
        <f>H39-H38</f>
        <v>-3.0575015327711785E-3</v>
      </c>
      <c r="I40" s="36"/>
      <c r="J40" s="36"/>
      <c r="K40" s="369">
        <f>K39-K38</f>
        <v>7.4053295932678842E-2</v>
      </c>
      <c r="L40" s="36"/>
      <c r="M40" s="36"/>
      <c r="N40" s="369">
        <f>N39-N38</f>
        <v>6.7849223946784942E-2</v>
      </c>
    </row>
    <row r="41" spans="2:20" ht="15.75" thickBot="1" x14ac:dyDescent="0.3">
      <c r="Q41" s="1654" t="s">
        <v>25</v>
      </c>
      <c r="R41" s="1654"/>
      <c r="S41" s="1654"/>
      <c r="T41" s="1654"/>
    </row>
    <row r="42" spans="2:20" ht="27.75" thickTop="1" thickBot="1" x14ac:dyDescent="0.45">
      <c r="E42" s="1658" t="s">
        <v>25</v>
      </c>
      <c r="F42" s="1659"/>
      <c r="G42" s="1659"/>
      <c r="H42" s="1659"/>
      <c r="I42" s="1659"/>
      <c r="J42" s="1663"/>
    </row>
    <row r="43" spans="2:20" ht="15.75" thickTop="1" x14ac:dyDescent="0.25"/>
    <row r="44" spans="2:20" ht="15.75" customHeight="1" thickBot="1" x14ac:dyDescent="0.3">
      <c r="B44" s="20" t="s">
        <v>1060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DATOS!C$26</f>
        <v>33</v>
      </c>
      <c r="D45" s="15">
        <f>DATOS!E$26</f>
        <v>34.25</v>
      </c>
      <c r="E45" s="15">
        <f>DATOS!G$26</f>
        <v>33.549999999999997</v>
      </c>
      <c r="F45" s="15">
        <f>DATOS!I$26</f>
        <v>32</v>
      </c>
      <c r="G45" s="15">
        <f>DATOS!K$26</f>
        <v>32.629999999999995</v>
      </c>
      <c r="H45" s="15">
        <f>DATOS!M$26</f>
        <v>34.863</v>
      </c>
      <c r="I45" s="15">
        <f>DATOS!O$26</f>
        <v>38.080000000000005</v>
      </c>
      <c r="J45" s="15">
        <f>DATOS!Q$26</f>
        <v>37.5</v>
      </c>
      <c r="K45" s="15">
        <f>DATOS!S$26</f>
        <v>38.5</v>
      </c>
      <c r="L45" s="15">
        <f>DATOS!U$26</f>
        <v>38.22</v>
      </c>
      <c r="M45" s="15">
        <f>DATOS!W$26</f>
        <v>37.65</v>
      </c>
      <c r="N45" s="15">
        <f>DATOS!Y$26</f>
        <v>36.880000000000003</v>
      </c>
    </row>
    <row r="46" spans="2:20" x14ac:dyDescent="0.25">
      <c r="B46" s="12" t="s">
        <v>26</v>
      </c>
      <c r="C46" s="14">
        <f>DATOS!C$36</f>
        <v>0</v>
      </c>
      <c r="D46" s="14">
        <f>DATOS!E$36</f>
        <v>0</v>
      </c>
      <c r="E46" s="14">
        <f>DATOS!G$36</f>
        <v>0</v>
      </c>
      <c r="F46" s="14">
        <f>DATOS!I$36</f>
        <v>0</v>
      </c>
      <c r="G46" s="14">
        <f>DATOS!K$36</f>
        <v>0</v>
      </c>
      <c r="H46" s="14">
        <f>DATOS!M$36</f>
        <v>0</v>
      </c>
      <c r="I46" s="14">
        <f>DATOS!O$36</f>
        <v>0</v>
      </c>
      <c r="J46" s="14">
        <f>DATOS!Q$36</f>
        <v>0</v>
      </c>
      <c r="K46" s="14">
        <f>DATOS!S$36</f>
        <v>0</v>
      </c>
      <c r="L46" s="14">
        <f>DATOS!U$36</f>
        <v>0</v>
      </c>
      <c r="M46" s="14">
        <f>DATOS!W$36</f>
        <v>0</v>
      </c>
      <c r="N46" s="14">
        <f>DATOS!Y$36</f>
        <v>0</v>
      </c>
    </row>
    <row r="47" spans="2:20" ht="18.75" x14ac:dyDescent="0.3">
      <c r="B47" s="77" t="s">
        <v>27</v>
      </c>
      <c r="C47" s="368">
        <f>(C$46/C$45)</f>
        <v>0</v>
      </c>
      <c r="D47" s="368">
        <f t="shared" ref="D47:N47" si="3">(D$46/D$45)</f>
        <v>0</v>
      </c>
      <c r="E47" s="368">
        <f t="shared" si="3"/>
        <v>0</v>
      </c>
      <c r="F47" s="368">
        <f t="shared" si="3"/>
        <v>0</v>
      </c>
      <c r="G47" s="368">
        <f t="shared" si="3"/>
        <v>0</v>
      </c>
      <c r="H47" s="368">
        <f t="shared" si="3"/>
        <v>0</v>
      </c>
      <c r="I47" s="368">
        <f t="shared" si="3"/>
        <v>0</v>
      </c>
      <c r="J47" s="368">
        <f t="shared" si="3"/>
        <v>0</v>
      </c>
      <c r="K47" s="368">
        <f t="shared" si="3"/>
        <v>0</v>
      </c>
      <c r="L47" s="368">
        <f t="shared" si="3"/>
        <v>0</v>
      </c>
      <c r="M47" s="368">
        <f t="shared" si="3"/>
        <v>0</v>
      </c>
      <c r="N47" s="368">
        <f t="shared" si="3"/>
        <v>0</v>
      </c>
    </row>
    <row r="48" spans="2:20" x14ac:dyDescent="0.25">
      <c r="B48" s="1" t="s">
        <v>20</v>
      </c>
      <c r="C48" s="369">
        <v>0.04</v>
      </c>
      <c r="D48" s="369">
        <v>0.04</v>
      </c>
      <c r="E48" s="369">
        <v>0.04</v>
      </c>
      <c r="F48" s="369">
        <v>0.04</v>
      </c>
      <c r="G48" s="369">
        <v>0.04</v>
      </c>
      <c r="H48" s="369">
        <v>0.04</v>
      </c>
      <c r="I48" s="369">
        <v>0.04</v>
      </c>
      <c r="J48" s="369">
        <v>0.04</v>
      </c>
      <c r="K48" s="369">
        <v>0.04</v>
      </c>
      <c r="L48" s="369">
        <v>0.04</v>
      </c>
      <c r="M48" s="369">
        <v>0.04</v>
      </c>
      <c r="N48" s="369">
        <v>0.04</v>
      </c>
    </row>
    <row r="49" spans="2:20" x14ac:dyDescent="0.25">
      <c r="B49" s="8" t="s">
        <v>17</v>
      </c>
      <c r="C49" s="375">
        <f>C48-C47</f>
        <v>0.04</v>
      </c>
      <c r="D49" s="375">
        <f t="shared" ref="D49:N49" si="4">D48-D47</f>
        <v>0.04</v>
      </c>
      <c r="E49" s="375">
        <f t="shared" si="4"/>
        <v>0.04</v>
      </c>
      <c r="F49" s="375">
        <f t="shared" si="4"/>
        <v>0.04</v>
      </c>
      <c r="G49" s="375">
        <f t="shared" si="4"/>
        <v>0.04</v>
      </c>
      <c r="H49" s="375">
        <f t="shared" si="4"/>
        <v>0.04</v>
      </c>
      <c r="I49" s="375">
        <f t="shared" si="4"/>
        <v>0.04</v>
      </c>
      <c r="J49" s="375">
        <f t="shared" si="4"/>
        <v>0.04</v>
      </c>
      <c r="K49" s="375">
        <f t="shared" si="4"/>
        <v>0.04</v>
      </c>
      <c r="L49" s="375">
        <f t="shared" si="4"/>
        <v>0.04</v>
      </c>
      <c r="M49" s="375">
        <f t="shared" si="4"/>
        <v>0.04</v>
      </c>
      <c r="N49" s="375">
        <f t="shared" si="4"/>
        <v>0.04</v>
      </c>
    </row>
    <row r="50" spans="2:20" ht="15.75" thickBot="1" x14ac:dyDescent="0.3"/>
    <row r="51" spans="2:20" ht="27.75" thickTop="1" thickBot="1" x14ac:dyDescent="0.45">
      <c r="E51" s="1658" t="s">
        <v>28</v>
      </c>
      <c r="F51" s="1659"/>
      <c r="G51" s="1659"/>
      <c r="H51" s="1659"/>
      <c r="I51" s="1660"/>
      <c r="R51" s="1670" t="s">
        <v>28</v>
      </c>
      <c r="S51" s="1671"/>
    </row>
    <row r="52" spans="2:20" ht="15.75" thickTop="1" x14ac:dyDescent="0.25"/>
    <row r="53" spans="2:20" ht="15.75" thickBot="1" x14ac:dyDescent="0.3">
      <c r="B53" s="20" t="s">
        <v>1060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DATOS!C$37</f>
        <v>0</v>
      </c>
      <c r="D54" s="83">
        <f>DATOS!E$37</f>
        <v>0</v>
      </c>
      <c r="E54" s="83">
        <f>DATOS!G$37</f>
        <v>0</v>
      </c>
      <c r="F54" s="83">
        <f>DATOS!I$37</f>
        <v>0</v>
      </c>
      <c r="G54" s="83">
        <f>DATOS!K$37</f>
        <v>0</v>
      </c>
      <c r="H54" s="83">
        <f>DATOS!M$37</f>
        <v>0</v>
      </c>
      <c r="I54" s="83">
        <f>DATOS!O$37</f>
        <v>0</v>
      </c>
      <c r="J54" s="83">
        <f>DATOS!Q$37</f>
        <v>0</v>
      </c>
      <c r="K54" s="83">
        <f>DATOS!S$37</f>
        <v>0</v>
      </c>
      <c r="L54" s="83">
        <f>DATOS!U$37</f>
        <v>0</v>
      </c>
      <c r="M54" s="83">
        <f>DATOS!W$37</f>
        <v>0</v>
      </c>
      <c r="N54" s="83">
        <f>DATOS!Y$37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25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customHeight="1" thickTop="1" thickBot="1" x14ac:dyDescent="0.45">
      <c r="C58" s="1658" t="s">
        <v>33</v>
      </c>
      <c r="D58" s="1659"/>
      <c r="E58" s="1659"/>
      <c r="F58" s="1659"/>
      <c r="G58" s="1659"/>
      <c r="H58" s="1659"/>
      <c r="I58" s="1659"/>
      <c r="J58" s="1659"/>
      <c r="K58" s="1659"/>
      <c r="L58" s="1672"/>
      <c r="M58" s="1663"/>
      <c r="Q58" s="1654" t="s">
        <v>31</v>
      </c>
      <c r="R58" s="1654"/>
      <c r="S58" s="1654"/>
      <c r="T58" s="1654"/>
    </row>
    <row r="59" spans="2:20" ht="15.75" thickTop="1" x14ac:dyDescent="0.25"/>
    <row r="60" spans="2:20" ht="15.75" thickBot="1" x14ac:dyDescent="0.3">
      <c r="B60" s="20" t="s">
        <v>1060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7">
        <f>DATOS!C$7</f>
        <v>1.5</v>
      </c>
      <c r="D61" s="367">
        <f>DATOS!E$7</f>
        <v>1.5</v>
      </c>
      <c r="E61" s="367">
        <f>DATOS!G$7</f>
        <v>1.5</v>
      </c>
      <c r="F61" s="367">
        <f>DATOS!I$7</f>
        <v>1.5</v>
      </c>
      <c r="G61" s="367">
        <f>DATOS!K$7</f>
        <v>1.5</v>
      </c>
      <c r="H61" s="367">
        <f>DATOS!M$7</f>
        <v>1</v>
      </c>
      <c r="I61" s="367">
        <f>DATOS!O$7</f>
        <v>1</v>
      </c>
      <c r="J61" s="367">
        <f>DATOS!Q$7</f>
        <v>1</v>
      </c>
      <c r="K61" s="367">
        <f>DATOS!S$7</f>
        <v>1</v>
      </c>
      <c r="L61" s="367">
        <f>DATOS!U$7</f>
        <v>1</v>
      </c>
      <c r="M61" s="367">
        <f>DATOS!W$7</f>
        <v>1</v>
      </c>
      <c r="N61" s="367">
        <f>DATOS!Y$7</f>
        <v>1</v>
      </c>
    </row>
    <row r="62" spans="2:20" x14ac:dyDescent="0.25">
      <c r="B62" s="1" t="s">
        <v>20</v>
      </c>
      <c r="C62" s="371">
        <v>0.85</v>
      </c>
      <c r="D62" s="371">
        <v>0.85</v>
      </c>
      <c r="E62" s="371">
        <v>0.85</v>
      </c>
      <c r="F62" s="371">
        <v>0.85</v>
      </c>
      <c r="G62" s="371">
        <v>0.85</v>
      </c>
      <c r="H62" s="371">
        <v>0.85</v>
      </c>
      <c r="I62" s="371">
        <v>0.85</v>
      </c>
      <c r="J62" s="371">
        <v>0.85</v>
      </c>
      <c r="K62" s="371">
        <v>0.85</v>
      </c>
      <c r="L62" s="371">
        <v>0.85</v>
      </c>
      <c r="M62" s="371">
        <v>0.85</v>
      </c>
      <c r="N62" s="371">
        <v>0.85</v>
      </c>
    </row>
    <row r="63" spans="2:20" x14ac:dyDescent="0.25">
      <c r="B63" s="8" t="s">
        <v>17</v>
      </c>
      <c r="C63" s="370">
        <f>C$61-C$62</f>
        <v>0.65</v>
      </c>
      <c r="D63" s="370">
        <f t="shared" ref="D63:N63" si="6">D$61-D$62</f>
        <v>0.65</v>
      </c>
      <c r="E63" s="370">
        <f t="shared" si="6"/>
        <v>0.65</v>
      </c>
      <c r="F63" s="370">
        <f t="shared" si="6"/>
        <v>0.65</v>
      </c>
      <c r="G63" s="370">
        <f t="shared" si="6"/>
        <v>0.65</v>
      </c>
      <c r="H63" s="370">
        <f t="shared" si="6"/>
        <v>0.15000000000000002</v>
      </c>
      <c r="I63" s="370">
        <f t="shared" si="6"/>
        <v>0.15000000000000002</v>
      </c>
      <c r="J63" s="370">
        <f t="shared" si="6"/>
        <v>0.15000000000000002</v>
      </c>
      <c r="K63" s="370">
        <f t="shared" si="6"/>
        <v>0.15000000000000002</v>
      </c>
      <c r="L63" s="370">
        <f t="shared" si="6"/>
        <v>0.15000000000000002</v>
      </c>
      <c r="M63" s="370">
        <f t="shared" si="6"/>
        <v>0.15000000000000002</v>
      </c>
      <c r="N63" s="370">
        <f t="shared" si="6"/>
        <v>0.15000000000000002</v>
      </c>
    </row>
    <row r="64" spans="2:20" ht="15.75" thickBot="1" x14ac:dyDescent="0.3"/>
    <row r="65" spans="2:20" ht="27.75" thickTop="1" thickBot="1" x14ac:dyDescent="0.45">
      <c r="C65" s="1658" t="s">
        <v>32</v>
      </c>
      <c r="D65" s="1659"/>
      <c r="E65" s="1659"/>
      <c r="F65" s="1659"/>
      <c r="G65" s="1659"/>
      <c r="H65" s="1659"/>
      <c r="I65" s="1659"/>
      <c r="J65" s="1659"/>
      <c r="K65" s="1659"/>
      <c r="L65" s="1659"/>
      <c r="M65" s="1660"/>
    </row>
    <row r="66" spans="2:20" ht="15.75" thickTop="1" x14ac:dyDescent="0.25">
      <c r="Q66" s="1654" t="s">
        <v>34</v>
      </c>
      <c r="R66" s="1654"/>
      <c r="S66" s="1654"/>
      <c r="T66" s="1654"/>
    </row>
    <row r="67" spans="2:20" ht="15.75" thickBot="1" x14ac:dyDescent="0.3">
      <c r="B67" s="20" t="s">
        <v>1060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2">
        <f>DATOS!C$8</f>
        <v>1.5</v>
      </c>
      <c r="D68" s="372">
        <f>DATOS!E$8</f>
        <v>1.5</v>
      </c>
      <c r="E68" s="372">
        <f>DATOS!G$8</f>
        <v>1.5</v>
      </c>
      <c r="F68" s="372">
        <f>DATOS!I$8</f>
        <v>1.5</v>
      </c>
      <c r="G68" s="372">
        <f>DATOS!K$8</f>
        <v>1.5</v>
      </c>
      <c r="H68" s="372">
        <f>DATOS!M$8</f>
        <v>1</v>
      </c>
      <c r="I68" s="372">
        <f>DATOS!O$8</f>
        <v>1</v>
      </c>
      <c r="J68" s="372">
        <f>DATOS!Q$8</f>
        <v>1</v>
      </c>
      <c r="K68" s="372">
        <f>DATOS!S$8</f>
        <v>0.875</v>
      </c>
      <c r="L68" s="372">
        <f>DATOS!U$8</f>
        <v>1</v>
      </c>
      <c r="M68" s="372">
        <f>DATOS!W$8</f>
        <v>1</v>
      </c>
      <c r="N68" s="372">
        <f>DATOS!Y$8</f>
        <v>1</v>
      </c>
    </row>
    <row r="69" spans="2:20" x14ac:dyDescent="0.25">
      <c r="B69" s="1" t="s">
        <v>20</v>
      </c>
      <c r="C69" s="371">
        <v>0.85</v>
      </c>
      <c r="D69" s="371">
        <v>0.85</v>
      </c>
      <c r="E69" s="371">
        <v>0.85</v>
      </c>
      <c r="F69" s="371">
        <v>0.85</v>
      </c>
      <c r="G69" s="371">
        <v>0.85</v>
      </c>
      <c r="H69" s="371">
        <v>0.85</v>
      </c>
      <c r="I69" s="371">
        <v>0.85</v>
      </c>
      <c r="J69" s="371">
        <v>0.85</v>
      </c>
      <c r="K69" s="371">
        <v>0.85</v>
      </c>
      <c r="L69" s="371">
        <v>0.85</v>
      </c>
      <c r="M69" s="371">
        <v>0.85</v>
      </c>
      <c r="N69" s="371">
        <v>0.85</v>
      </c>
    </row>
    <row r="70" spans="2:20" x14ac:dyDescent="0.25">
      <c r="B70" s="8" t="s">
        <v>17</v>
      </c>
      <c r="C70" s="373">
        <f>C$68-C$69</f>
        <v>0.65</v>
      </c>
      <c r="D70" s="373">
        <f t="shared" ref="D70:N70" si="7">D$68-D$69</f>
        <v>0.65</v>
      </c>
      <c r="E70" s="373">
        <f t="shared" si="7"/>
        <v>0.65</v>
      </c>
      <c r="F70" s="373">
        <f t="shared" si="7"/>
        <v>0.65</v>
      </c>
      <c r="G70" s="373">
        <f t="shared" si="7"/>
        <v>0.65</v>
      </c>
      <c r="H70" s="373">
        <f t="shared" si="7"/>
        <v>0.15000000000000002</v>
      </c>
      <c r="I70" s="373">
        <f t="shared" si="7"/>
        <v>0.15000000000000002</v>
      </c>
      <c r="J70" s="373">
        <f t="shared" si="7"/>
        <v>0.15000000000000002</v>
      </c>
      <c r="K70" s="373">
        <f t="shared" si="7"/>
        <v>2.5000000000000022E-2</v>
      </c>
      <c r="L70" s="373">
        <f t="shared" si="7"/>
        <v>0.15000000000000002</v>
      </c>
      <c r="M70" s="373">
        <f t="shared" si="7"/>
        <v>0.15000000000000002</v>
      </c>
      <c r="N70" s="373">
        <f t="shared" si="7"/>
        <v>0.15000000000000002</v>
      </c>
    </row>
    <row r="71" spans="2:20" ht="15.75" thickBot="1" x14ac:dyDescent="0.3"/>
    <row r="72" spans="2:20" ht="27.75" thickTop="1" thickBot="1" x14ac:dyDescent="0.45">
      <c r="E72" s="1658" t="s">
        <v>35</v>
      </c>
      <c r="F72" s="1659"/>
      <c r="G72" s="1659"/>
      <c r="H72" s="1659"/>
      <c r="I72" s="1660"/>
    </row>
    <row r="73" spans="2:20" ht="16.5" thickTop="1" thickBot="1" x14ac:dyDescent="0.3"/>
    <row r="74" spans="2:20" ht="15.75" thickBot="1" x14ac:dyDescent="0.3">
      <c r="B74" s="29" t="s">
        <v>1060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DATOS!C$16</f>
        <v>8281.24</v>
      </c>
      <c r="D75" s="32">
        <f>DATOS!E$16</f>
        <v>22217.47</v>
      </c>
      <c r="E75" s="32">
        <f>DATOS!G$16</f>
        <v>3278.62</v>
      </c>
      <c r="F75" s="32">
        <f>DATOS!I$16</f>
        <v>21275.08</v>
      </c>
      <c r="G75" s="32">
        <f>DATOS!K$16</f>
        <v>20017.75</v>
      </c>
      <c r="H75" s="32">
        <f>DATOS!M$16</f>
        <v>13641.32</v>
      </c>
      <c r="I75" s="32">
        <f>DATOS!O$16</f>
        <v>20091.28</v>
      </c>
      <c r="J75" s="32">
        <f>DATOS!Q$16</f>
        <v>5012.5600000000004</v>
      </c>
      <c r="K75" s="32">
        <f>DATOS!S$16</f>
        <v>12499.02</v>
      </c>
      <c r="L75" s="32">
        <f>DATOS!U$16</f>
        <v>6053.65</v>
      </c>
      <c r="M75" s="32">
        <f>DATOS!W$16</f>
        <v>10161.459999999999</v>
      </c>
      <c r="N75" s="32">
        <f>DATOS!Y$16</f>
        <v>5364.2</v>
      </c>
      <c r="Q75" s="1654" t="s">
        <v>35</v>
      </c>
      <c r="R75" s="1654"/>
      <c r="S75" s="1654"/>
      <c r="T75" s="1654"/>
    </row>
    <row r="76" spans="2:20" x14ac:dyDescent="0.25">
      <c r="B76" s="60" t="s">
        <v>37</v>
      </c>
      <c r="C76" s="33">
        <f>DATOS!C$12</f>
        <v>50315.11</v>
      </c>
      <c r="D76" s="33">
        <f>DATOS!E$12</f>
        <v>45400.91</v>
      </c>
      <c r="E76" s="33">
        <f>DATOS!G$12</f>
        <v>46699.73</v>
      </c>
      <c r="F76" s="33">
        <f>DATOS!I$12</f>
        <v>45909.24</v>
      </c>
      <c r="G76" s="33">
        <f>DATOS!K$12</f>
        <v>53397.91</v>
      </c>
      <c r="H76" s="33">
        <f>DATOS!M$12</f>
        <v>59690.32</v>
      </c>
      <c r="I76" s="33">
        <f>DATOS!O$12</f>
        <v>81644.399999999994</v>
      </c>
      <c r="J76" s="33">
        <f>DATOS!Q$12</f>
        <v>26198.1</v>
      </c>
      <c r="K76" s="33">
        <f>DATOS!S$12</f>
        <v>55140.66</v>
      </c>
      <c r="L76" s="33">
        <f>DATOS!U$12</f>
        <v>50351.5</v>
      </c>
      <c r="M76" s="33">
        <f>DATOS!W$12</f>
        <v>46507.53</v>
      </c>
      <c r="N76" s="33">
        <f>DATOS!Y$12</f>
        <v>69678</v>
      </c>
    </row>
    <row r="77" spans="2:20" x14ac:dyDescent="0.25">
      <c r="B77" s="60" t="s">
        <v>38</v>
      </c>
      <c r="C77" s="33">
        <f>DATOS!C3</f>
        <v>238460.23</v>
      </c>
      <c r="D77" s="33">
        <f>DATOS!E3</f>
        <v>215170.18</v>
      </c>
      <c r="E77" s="33">
        <f>DATOS!G3</f>
        <v>249933.64</v>
      </c>
      <c r="F77" s="33">
        <f>DATOS!I3</f>
        <v>213930.04</v>
      </c>
      <c r="G77" s="33">
        <f>DATOS!K3</f>
        <v>249029.69</v>
      </c>
      <c r="H77" s="33">
        <f>DATOS!M3</f>
        <v>300128.49</v>
      </c>
      <c r="I77" s="33">
        <f>DATOS!O3</f>
        <v>329301.73</v>
      </c>
      <c r="J77" s="33">
        <f>DATOS!Q3</f>
        <v>60396.19</v>
      </c>
      <c r="K77" s="33">
        <f>DATOS!S3</f>
        <v>285699.76</v>
      </c>
      <c r="L77" s="33">
        <f>DATOS!U3</f>
        <v>273689.55</v>
      </c>
      <c r="M77" s="33">
        <f>DATOS!W3</f>
        <v>249051.41</v>
      </c>
      <c r="N77" s="34">
        <f>DATOS!Y3</f>
        <v>113243.67</v>
      </c>
    </row>
    <row r="78" spans="2:20" x14ac:dyDescent="0.25">
      <c r="B78" s="61" t="s">
        <v>72</v>
      </c>
      <c r="C78" s="369">
        <f>(C$75+C$76)/C$77</f>
        <v>0.24572797736544999</v>
      </c>
      <c r="D78" s="369">
        <f t="shared" ref="D78:N78" si="8">(D$75+D$76)/D$77</f>
        <v>0.31425534895216434</v>
      </c>
      <c r="E78" s="369">
        <f t="shared" si="8"/>
        <v>0.19996647910221291</v>
      </c>
      <c r="F78" s="369">
        <f t="shared" si="8"/>
        <v>0.31404808787022154</v>
      </c>
      <c r="G78" s="369">
        <f t="shared" si="8"/>
        <v>0.29480685616241181</v>
      </c>
      <c r="H78" s="369">
        <f t="shared" si="8"/>
        <v>0.24433415168283426</v>
      </c>
      <c r="I78" s="369">
        <f t="shared" si="8"/>
        <v>0.30894365480557906</v>
      </c>
      <c r="J78" s="369">
        <f t="shared" si="8"/>
        <v>0.51676537874326178</v>
      </c>
      <c r="K78" s="369">
        <f t="shared" si="8"/>
        <v>0.23675091641659063</v>
      </c>
      <c r="L78" s="369">
        <f t="shared" si="8"/>
        <v>0.20609171961443176</v>
      </c>
      <c r="M78" s="369">
        <f t="shared" si="8"/>
        <v>0.22753932611744698</v>
      </c>
      <c r="N78" s="369">
        <f t="shared" si="8"/>
        <v>0.66266132137893441</v>
      </c>
    </row>
    <row r="79" spans="2:20" ht="18.75" x14ac:dyDescent="0.3">
      <c r="B79" s="84" t="s">
        <v>27</v>
      </c>
      <c r="C79" s="85"/>
      <c r="D79" s="80"/>
      <c r="E79" s="368">
        <f>(C$75+C$76+D$75+D$76+E$75+E$76)/(C$77+D$77+E$77)</f>
        <v>0.25042933902037773</v>
      </c>
      <c r="F79" s="80"/>
      <c r="G79" s="80"/>
      <c r="H79" s="368">
        <f>(F75+F76+G75+G76+H75+H76)/(F77+G77+H77)</f>
        <v>0.28034978707966429</v>
      </c>
      <c r="I79" s="80"/>
      <c r="J79" s="80"/>
      <c r="K79" s="368">
        <f>(I75+J75+K75+I76+J76+K76)/(I77+J77+K77)</f>
        <v>0.29698950105958316</v>
      </c>
      <c r="L79" s="80"/>
      <c r="M79" s="80"/>
      <c r="N79" s="374">
        <f>(L75+M75+N75+L76+M76+N76)/(L77+M77+N77)</f>
        <v>0.29578755700432569</v>
      </c>
    </row>
    <row r="80" spans="2:20" x14ac:dyDescent="0.25">
      <c r="B80" s="27" t="s">
        <v>20</v>
      </c>
      <c r="C80" s="18"/>
      <c r="D80" s="18"/>
      <c r="E80" s="369">
        <v>0.35</v>
      </c>
      <c r="F80" s="18"/>
      <c r="G80" s="18"/>
      <c r="H80" s="369">
        <v>0.35</v>
      </c>
      <c r="I80" s="18"/>
      <c r="J80" s="18"/>
      <c r="K80" s="369">
        <v>0.35</v>
      </c>
      <c r="L80" s="18"/>
      <c r="M80" s="18"/>
      <c r="N80" s="369">
        <v>0.35</v>
      </c>
    </row>
    <row r="81" spans="2:23" x14ac:dyDescent="0.25">
      <c r="B81" s="28" t="s">
        <v>17</v>
      </c>
      <c r="C81" s="19"/>
      <c r="D81" s="19"/>
      <c r="E81" s="9">
        <f>E80-E79</f>
        <v>9.957066097962225E-2</v>
      </c>
      <c r="F81" s="19"/>
      <c r="G81" s="19"/>
      <c r="H81" s="9">
        <f>H80-H79</f>
        <v>6.9650212920335686E-2</v>
      </c>
      <c r="I81" s="19"/>
      <c r="J81" s="19"/>
      <c r="K81" s="9">
        <f>K80-K79</f>
        <v>5.3010498940416817E-2</v>
      </c>
      <c r="L81" s="19"/>
      <c r="M81" s="19"/>
      <c r="N81" s="1302">
        <f>N80-N79</f>
        <v>5.4212442995674293E-2</v>
      </c>
    </row>
    <row r="85" spans="2:23" ht="15.75" thickBot="1" x14ac:dyDescent="0.3"/>
    <row r="86" spans="2:23" ht="27.75" thickTop="1" thickBot="1" x14ac:dyDescent="0.45">
      <c r="C86" s="1658" t="s">
        <v>398</v>
      </c>
      <c r="D86" s="1659"/>
      <c r="E86" s="1659"/>
      <c r="F86" s="1659"/>
      <c r="G86" s="1659"/>
      <c r="H86" s="1659"/>
      <c r="I86" s="1659"/>
      <c r="J86" s="1659"/>
      <c r="K86" s="1659"/>
      <c r="L86" s="1659"/>
      <c r="M86" s="1660"/>
      <c r="Q86" s="1665" t="s">
        <v>398</v>
      </c>
      <c r="R86" s="1665"/>
      <c r="S86" s="1665"/>
      <c r="T86" s="1665"/>
      <c r="U86" s="1665"/>
      <c r="V86" s="1665"/>
      <c r="W86" s="1665"/>
    </row>
    <row r="87" spans="2:23" ht="15.75" thickTop="1" x14ac:dyDescent="0.25"/>
    <row r="88" spans="2:23" ht="15.75" thickBot="1" x14ac:dyDescent="0.3">
      <c r="B88" s="20" t="s">
        <v>1060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4" t="s">
        <v>399</v>
      </c>
      <c r="C89" s="537">
        <f>DATOS!C$9</f>
        <v>0</v>
      </c>
      <c r="D89" s="537">
        <f>DATOS!E$9</f>
        <v>1</v>
      </c>
      <c r="E89" s="537">
        <f>DATOS!G$9</f>
        <v>1</v>
      </c>
      <c r="F89" s="537">
        <f>DATOS!I$9</f>
        <v>0</v>
      </c>
      <c r="G89" s="537">
        <f>DATOS!K$9</f>
        <v>1</v>
      </c>
      <c r="H89" s="537">
        <f>DATOS!M$9</f>
        <v>0</v>
      </c>
      <c r="I89" s="537">
        <f>DATOS!O$9</f>
        <v>1</v>
      </c>
      <c r="J89" s="537">
        <f>DATOS!Q$9</f>
        <v>1</v>
      </c>
      <c r="K89" s="537">
        <f>DATOS!S$9</f>
        <v>1</v>
      </c>
      <c r="L89" s="537">
        <f>DATOS!U$9</f>
        <v>1</v>
      </c>
      <c r="M89" s="537">
        <f>DATOS!W$9</f>
        <v>1</v>
      </c>
      <c r="N89" s="537">
        <f>DATOS!Y$9</f>
        <v>0</v>
      </c>
    </row>
    <row r="90" spans="2:23" x14ac:dyDescent="0.25">
      <c r="B90" s="534" t="s">
        <v>400</v>
      </c>
      <c r="C90" s="537">
        <f>DATOS!C$10</f>
        <v>1</v>
      </c>
      <c r="D90" s="537">
        <f>DATOS!E$10</f>
        <v>1</v>
      </c>
      <c r="E90" s="537">
        <f>DATOS!G$10</f>
        <v>1</v>
      </c>
      <c r="F90" s="537">
        <f>DATOS!I$10</f>
        <v>2</v>
      </c>
      <c r="G90" s="537">
        <f>DATOS!K$10</f>
        <v>1</v>
      </c>
      <c r="H90" s="537">
        <f>DATOS!M$10</f>
        <v>1</v>
      </c>
      <c r="I90" s="537">
        <f>DATOS!O$10</f>
        <v>1</v>
      </c>
      <c r="J90" s="537">
        <f>DATOS!Q$10</f>
        <v>2</v>
      </c>
      <c r="K90" s="537">
        <f>DATOS!S$10</f>
        <v>1</v>
      </c>
      <c r="L90" s="537">
        <f>DATOS!U$10</f>
        <v>1</v>
      </c>
      <c r="M90" s="537">
        <f>DATOS!W$10</f>
        <v>1</v>
      </c>
      <c r="N90" s="537">
        <f>DATOS!Y$10</f>
        <v>0</v>
      </c>
    </row>
    <row r="91" spans="2:23" ht="18.75" x14ac:dyDescent="0.3">
      <c r="B91" s="77" t="s">
        <v>27</v>
      </c>
      <c r="C91" s="532">
        <f>(C90+C89)/2</f>
        <v>0.5</v>
      </c>
      <c r="D91" s="532">
        <f t="shared" ref="D91:N91" si="9">(D90+D89)/2</f>
        <v>1</v>
      </c>
      <c r="E91" s="532">
        <f t="shared" si="9"/>
        <v>1</v>
      </c>
      <c r="F91" s="532">
        <f t="shared" si="9"/>
        <v>1</v>
      </c>
      <c r="G91" s="532">
        <f t="shared" si="9"/>
        <v>1</v>
      </c>
      <c r="H91" s="532">
        <f t="shared" si="9"/>
        <v>0.5</v>
      </c>
      <c r="I91" s="532">
        <f t="shared" si="9"/>
        <v>1</v>
      </c>
      <c r="J91" s="532">
        <f t="shared" si="9"/>
        <v>1.5</v>
      </c>
      <c r="K91" s="532">
        <f t="shared" si="9"/>
        <v>1</v>
      </c>
      <c r="L91" s="532">
        <f t="shared" si="9"/>
        <v>1</v>
      </c>
      <c r="M91" s="532">
        <f t="shared" si="9"/>
        <v>1</v>
      </c>
      <c r="N91" s="532">
        <f t="shared" si="9"/>
        <v>0</v>
      </c>
    </row>
    <row r="92" spans="2:23" x14ac:dyDescent="0.25">
      <c r="B92" s="1" t="s">
        <v>401</v>
      </c>
      <c r="C92" s="531">
        <v>2</v>
      </c>
      <c r="D92" s="531">
        <v>2</v>
      </c>
      <c r="E92" s="531">
        <v>2</v>
      </c>
      <c r="F92" s="531">
        <v>2</v>
      </c>
      <c r="G92" s="531">
        <v>2</v>
      </c>
      <c r="H92" s="531">
        <v>2</v>
      </c>
      <c r="I92" s="531">
        <v>2</v>
      </c>
      <c r="J92" s="531">
        <v>2</v>
      </c>
      <c r="K92" s="531">
        <v>2</v>
      </c>
      <c r="L92" s="531">
        <v>2</v>
      </c>
      <c r="M92" s="531">
        <v>2</v>
      </c>
      <c r="N92" s="531">
        <v>2</v>
      </c>
    </row>
    <row r="93" spans="2:23" x14ac:dyDescent="0.25">
      <c r="B93" s="8" t="s">
        <v>402</v>
      </c>
      <c r="C93" s="533">
        <f t="shared" ref="C93:N93" si="10">C$92-C$89</f>
        <v>2</v>
      </c>
      <c r="D93" s="533">
        <f t="shared" si="10"/>
        <v>1</v>
      </c>
      <c r="E93" s="533">
        <f t="shared" si="10"/>
        <v>1</v>
      </c>
      <c r="F93" s="533">
        <f t="shared" si="10"/>
        <v>2</v>
      </c>
      <c r="G93" s="533">
        <f t="shared" si="10"/>
        <v>1</v>
      </c>
      <c r="H93" s="533">
        <f t="shared" si="10"/>
        <v>2</v>
      </c>
      <c r="I93" s="533">
        <f t="shared" si="10"/>
        <v>1</v>
      </c>
      <c r="J93" s="533">
        <f t="shared" si="10"/>
        <v>1</v>
      </c>
      <c r="K93" s="533">
        <f t="shared" si="10"/>
        <v>1</v>
      </c>
      <c r="L93" s="533">
        <f t="shared" si="10"/>
        <v>1</v>
      </c>
      <c r="M93" s="533">
        <f t="shared" si="10"/>
        <v>1</v>
      </c>
      <c r="N93" s="533">
        <f t="shared" si="10"/>
        <v>2</v>
      </c>
    </row>
    <row r="94" spans="2:23" x14ac:dyDescent="0.25">
      <c r="B94" s="535" t="s">
        <v>403</v>
      </c>
      <c r="C94" s="536">
        <f t="shared" ref="C94:N94" si="11">C$92-C$90</f>
        <v>1</v>
      </c>
      <c r="D94" s="536">
        <f t="shared" si="11"/>
        <v>1</v>
      </c>
      <c r="E94" s="536">
        <f t="shared" si="11"/>
        <v>1</v>
      </c>
      <c r="F94" s="536">
        <f t="shared" si="11"/>
        <v>0</v>
      </c>
      <c r="G94" s="536">
        <f t="shared" si="11"/>
        <v>1</v>
      </c>
      <c r="H94" s="536">
        <f t="shared" si="11"/>
        <v>1</v>
      </c>
      <c r="I94" s="536">
        <f t="shared" si="11"/>
        <v>1</v>
      </c>
      <c r="J94" s="536">
        <f t="shared" si="11"/>
        <v>0</v>
      </c>
      <c r="K94" s="536">
        <f t="shared" si="11"/>
        <v>1</v>
      </c>
      <c r="L94" s="536">
        <f t="shared" si="11"/>
        <v>1</v>
      </c>
      <c r="M94" s="536">
        <f t="shared" si="11"/>
        <v>1</v>
      </c>
      <c r="N94" s="536">
        <f t="shared" si="11"/>
        <v>2</v>
      </c>
    </row>
    <row r="106" spans="2:22" ht="15.75" thickBot="1" x14ac:dyDescent="0.3">
      <c r="R106" s="1665" t="s">
        <v>1106</v>
      </c>
      <c r="S106" s="1666"/>
      <c r="T106" s="1666"/>
      <c r="U106" s="1666"/>
      <c r="V106" s="1666"/>
    </row>
    <row r="107" spans="2:22" ht="34.5" customHeight="1" thickTop="1" thickBot="1" x14ac:dyDescent="0.3">
      <c r="D107" s="1655" t="s">
        <v>782</v>
      </c>
      <c r="E107" s="1656"/>
      <c r="F107" s="1656"/>
      <c r="G107" s="1656"/>
      <c r="H107" s="1656"/>
      <c r="I107" s="1656"/>
      <c r="J107" s="1657"/>
    </row>
    <row r="108" spans="2:22" ht="15.75" thickTop="1" x14ac:dyDescent="0.25"/>
    <row r="110" spans="2:22" ht="15.75" thickBot="1" x14ac:dyDescent="0.3">
      <c r="B110" s="40" t="s">
        <v>1060</v>
      </c>
      <c r="C110" s="40" t="s">
        <v>49</v>
      </c>
    </row>
    <row r="111" spans="2:22" ht="18.75" x14ac:dyDescent="0.3">
      <c r="B111" s="77" t="s">
        <v>27</v>
      </c>
      <c r="C111" s="1450">
        <f>DATOS!$Y$72</f>
        <v>0.67500000000000004</v>
      </c>
    </row>
    <row r="112" spans="2:22" x14ac:dyDescent="0.25">
      <c r="B112" s="1" t="s">
        <v>20</v>
      </c>
      <c r="C112" s="1451">
        <v>0.5</v>
      </c>
    </row>
    <row r="113" spans="2:10" x14ac:dyDescent="0.25">
      <c r="B113" s="8" t="s">
        <v>17</v>
      </c>
      <c r="C113" s="1452">
        <f>C111-C112</f>
        <v>0.17500000000000004</v>
      </c>
    </row>
    <row r="121" spans="2:10" ht="15.75" thickBot="1" x14ac:dyDescent="0.3"/>
    <row r="122" spans="2:10" ht="30" customHeight="1" thickTop="1" thickBot="1" x14ac:dyDescent="0.3">
      <c r="D122" s="1655" t="s">
        <v>783</v>
      </c>
      <c r="E122" s="1656"/>
      <c r="F122" s="1656"/>
      <c r="G122" s="1656"/>
      <c r="H122" s="1656"/>
      <c r="I122" s="1656"/>
      <c r="J122" s="1657"/>
    </row>
    <row r="123" spans="2:10" ht="15.75" thickTop="1" x14ac:dyDescent="0.25"/>
    <row r="125" spans="2:10" ht="15.75" thickBot="1" x14ac:dyDescent="0.3">
      <c r="B125" s="40" t="s">
        <v>1060</v>
      </c>
      <c r="C125" s="40" t="s">
        <v>791</v>
      </c>
      <c r="D125" s="40" t="s">
        <v>792</v>
      </c>
      <c r="E125" s="40" t="s">
        <v>793</v>
      </c>
    </row>
    <row r="126" spans="2:10" ht="18.75" x14ac:dyDescent="0.3">
      <c r="B126" s="77" t="s">
        <v>27</v>
      </c>
      <c r="C126" s="1450">
        <f>DATOS!$Y$72</f>
        <v>0.67500000000000004</v>
      </c>
      <c r="D126" s="1450">
        <f>DATOS!$Y$43</f>
        <v>0.46</v>
      </c>
      <c r="E126" s="1450">
        <f>DATOS!$Y$73</f>
        <v>0.215</v>
      </c>
    </row>
    <row r="127" spans="2:10" x14ac:dyDescent="0.25">
      <c r="B127" s="1" t="s">
        <v>20</v>
      </c>
      <c r="C127" s="1451">
        <v>0.5</v>
      </c>
      <c r="D127" s="1451">
        <v>0.5</v>
      </c>
      <c r="E127" s="17">
        <v>1</v>
      </c>
    </row>
    <row r="128" spans="2:10" x14ac:dyDescent="0.25">
      <c r="B128" s="8" t="s">
        <v>17</v>
      </c>
      <c r="C128" s="1452">
        <f>C127-C126</f>
        <v>-0.17500000000000004</v>
      </c>
      <c r="D128" s="1452">
        <f t="shared" ref="D128:E128" si="12">D127-D126</f>
        <v>3.999999999999998E-2</v>
      </c>
      <c r="E128" s="1452">
        <f t="shared" si="12"/>
        <v>0.78500000000000003</v>
      </c>
    </row>
    <row r="136" spans="2:23" ht="15.75" thickBot="1" x14ac:dyDescent="0.3"/>
    <row r="137" spans="2:23" ht="27.75" thickTop="1" thickBot="1" x14ac:dyDescent="0.45">
      <c r="D137" s="1658" t="s">
        <v>1125</v>
      </c>
      <c r="E137" s="1659"/>
      <c r="F137" s="1659"/>
      <c r="G137" s="1659"/>
      <c r="H137" s="1659"/>
      <c r="I137" s="1659"/>
      <c r="J137" s="1659"/>
      <c r="K137" s="1659"/>
      <c r="L137" s="1659"/>
      <c r="M137" s="1659"/>
      <c r="N137" s="1660"/>
    </row>
    <row r="138" spans="2:23" ht="15.75" thickTop="1" x14ac:dyDescent="0.25">
      <c r="Q138" s="1666" t="s">
        <v>1127</v>
      </c>
      <c r="R138" s="1666"/>
      <c r="S138" s="1666"/>
      <c r="T138" s="1666"/>
      <c r="U138" s="1666"/>
      <c r="V138" s="1666"/>
      <c r="W138" s="1666"/>
    </row>
    <row r="140" spans="2:23" ht="15.75" thickBot="1" x14ac:dyDescent="0.3">
      <c r="B140" s="20" t="s">
        <v>1060</v>
      </c>
      <c r="C140" s="21" t="s">
        <v>0</v>
      </c>
      <c r="D140" s="21" t="s">
        <v>1</v>
      </c>
      <c r="E140" s="21" t="s">
        <v>2</v>
      </c>
      <c r="F140" s="21" t="s">
        <v>3</v>
      </c>
      <c r="G140" s="21" t="s">
        <v>4</v>
      </c>
      <c r="H140" s="21" t="s">
        <v>5</v>
      </c>
      <c r="I140" s="21" t="s">
        <v>6</v>
      </c>
      <c r="J140" s="21" t="s">
        <v>7</v>
      </c>
      <c r="K140" s="21" t="s">
        <v>8</v>
      </c>
      <c r="L140" s="21" t="s">
        <v>9</v>
      </c>
      <c r="M140" s="21" t="s">
        <v>10</v>
      </c>
      <c r="N140" s="22" t="s">
        <v>11</v>
      </c>
    </row>
    <row r="141" spans="2:23" ht="18.75" x14ac:dyDescent="0.3">
      <c r="B141" s="77" t="s">
        <v>27</v>
      </c>
      <c r="C141" s="83">
        <f>DATOS!C$37</f>
        <v>0</v>
      </c>
      <c r="D141" s="83">
        <f>DATOS!E$37</f>
        <v>0</v>
      </c>
      <c r="E141" s="83">
        <v>1</v>
      </c>
      <c r="F141" s="83">
        <f>DATOS!I$37</f>
        <v>0</v>
      </c>
      <c r="G141" s="83">
        <f>DATOS!K$37</f>
        <v>0</v>
      </c>
      <c r="H141" s="83">
        <f>DATOS!M$37</f>
        <v>0</v>
      </c>
      <c r="I141" s="83">
        <f>DATOS!O$37</f>
        <v>0</v>
      </c>
      <c r="J141" s="83">
        <f>DATOS!Q$37</f>
        <v>0</v>
      </c>
      <c r="K141" s="83">
        <f>DATOS!S$37</f>
        <v>0</v>
      </c>
      <c r="L141" s="83">
        <f>DATOS!U$37</f>
        <v>0</v>
      </c>
      <c r="M141" s="83">
        <f>DATOS!W$37</f>
        <v>0</v>
      </c>
      <c r="N141" s="83">
        <f>DATOS!Y$37</f>
        <v>0</v>
      </c>
    </row>
    <row r="142" spans="2:23" x14ac:dyDescent="0.25">
      <c r="B142" s="1" t="s">
        <v>20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</row>
    <row r="143" spans="2:23" x14ac:dyDescent="0.25">
      <c r="B143" s="8" t="s">
        <v>17</v>
      </c>
      <c r="C143" s="24">
        <f>C142-C141</f>
        <v>0</v>
      </c>
      <c r="D143" s="24">
        <f t="shared" ref="D143:N143" si="13">D142-D141</f>
        <v>0</v>
      </c>
      <c r="E143" s="1495">
        <f t="shared" si="13"/>
        <v>-1</v>
      </c>
      <c r="F143" s="24">
        <f t="shared" si="13"/>
        <v>0</v>
      </c>
      <c r="G143" s="24">
        <f t="shared" si="13"/>
        <v>0</v>
      </c>
      <c r="H143" s="24">
        <f t="shared" si="13"/>
        <v>0</v>
      </c>
      <c r="I143" s="24">
        <f t="shared" si="13"/>
        <v>0</v>
      </c>
      <c r="J143" s="24">
        <f t="shared" si="13"/>
        <v>0</v>
      </c>
      <c r="K143" s="24">
        <f t="shared" si="13"/>
        <v>0</v>
      </c>
      <c r="L143" s="24">
        <f t="shared" si="13"/>
        <v>0</v>
      </c>
      <c r="M143" s="24">
        <f t="shared" si="13"/>
        <v>0</v>
      </c>
      <c r="N143" s="24">
        <f t="shared" si="13"/>
        <v>0</v>
      </c>
    </row>
  </sheetData>
  <mergeCells count="26">
    <mergeCell ref="Q58:T58"/>
    <mergeCell ref="D107:J107"/>
    <mergeCell ref="D122:J122"/>
    <mergeCell ref="C86:M86"/>
    <mergeCell ref="C65:M65"/>
    <mergeCell ref="Q66:T66"/>
    <mergeCell ref="E72:I72"/>
    <mergeCell ref="Q75:T75"/>
    <mergeCell ref="Q86:W86"/>
    <mergeCell ref="R106:V106"/>
    <mergeCell ref="D137:N137"/>
    <mergeCell ref="Q138:W138"/>
    <mergeCell ref="AI1:AO1"/>
    <mergeCell ref="E32:I32"/>
    <mergeCell ref="R1:S1"/>
    <mergeCell ref="E4:I4"/>
    <mergeCell ref="R17:S17"/>
    <mergeCell ref="E23:I23"/>
    <mergeCell ref="R28:S28"/>
    <mergeCell ref="W1:Z1"/>
    <mergeCell ref="AC1:AF1"/>
    <mergeCell ref="Q41:T41"/>
    <mergeCell ref="E42:J42"/>
    <mergeCell ref="E51:I51"/>
    <mergeCell ref="R51:S51"/>
    <mergeCell ref="C58:M58"/>
  </mergeCells>
  <pageMargins left="0.7" right="0.7" top="0.75" bottom="0.75" header="0.3" footer="0.3"/>
  <pageSetup paperSize="9" orientation="portrait" r:id="rId1"/>
  <ignoredErrors>
    <ignoredError sqref="C69:E70 C62:N62 C63:E63 C91 C92:E94 D91:E91 C61:D61 C68:N68 C89:C90 D89:D90 E89:E90" calculatedColumn="1"/>
    <ignoredError sqref="H47:N48 H28:N29 H37:N37 H81:N81 H78:N78 I79:J79 I80:J80 L80:M80 L79:M79 K79 N79 H40:N40 I38:J38 I39:J39 L39:M39 H30:N30 L38:M38 K38 N38 H49:N49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049" r:id="rId4"/>
      </mc:Fallback>
    </mc:AlternateContent>
  </oleObjects>
  <tableParts count="12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O94"/>
  <sheetViews>
    <sheetView topLeftCell="A46" zoomScale="70" zoomScaleNormal="70" workbookViewId="0">
      <selection activeCell="C36" sqref="C36"/>
    </sheetView>
  </sheetViews>
  <sheetFormatPr baseColWidth="10" defaultRowHeight="15" x14ac:dyDescent="0.25"/>
  <cols>
    <col min="2" max="2" width="27.28515625" customWidth="1"/>
    <col min="3" max="14" width="12.7109375" customWidth="1"/>
  </cols>
  <sheetData>
    <row r="1" spans="2:41" ht="15" customHeight="1" x14ac:dyDescent="0.25">
      <c r="R1" s="1654" t="s">
        <v>75</v>
      </c>
      <c r="S1" s="1654"/>
      <c r="W1" s="1668" t="s">
        <v>76</v>
      </c>
      <c r="X1" s="1669"/>
      <c r="Y1" s="1669"/>
      <c r="Z1" s="1669"/>
      <c r="AC1" s="1668" t="s">
        <v>77</v>
      </c>
      <c r="AD1" s="1669"/>
      <c r="AE1" s="1669"/>
      <c r="AF1" s="1669"/>
      <c r="AI1" s="1654" t="s">
        <v>78</v>
      </c>
      <c r="AJ1" s="1654"/>
      <c r="AK1" s="1654"/>
      <c r="AL1" s="1654"/>
      <c r="AM1" s="1654"/>
      <c r="AN1" s="1654"/>
      <c r="AO1" s="1654"/>
    </row>
    <row r="3" spans="2:41" ht="15.75" thickBot="1" x14ac:dyDescent="0.3"/>
    <row r="4" spans="2:41" ht="27.75" thickTop="1" thickBot="1" x14ac:dyDescent="0.3">
      <c r="E4" s="1655" t="s">
        <v>18</v>
      </c>
      <c r="F4" s="1656"/>
      <c r="G4" s="1656"/>
      <c r="H4" s="1656"/>
      <c r="I4" s="1657"/>
    </row>
    <row r="5" spans="2:41" ht="15.75" thickTop="1" x14ac:dyDescent="0.25"/>
    <row r="6" spans="2:41" ht="15.75" thickBot="1" x14ac:dyDescent="0.3">
      <c r="B6" s="5" t="s">
        <v>821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DATOS!D$30</f>
        <v>0</v>
      </c>
      <c r="D7" s="3">
        <f>DATOS!F$30</f>
        <v>0</v>
      </c>
      <c r="E7" s="3">
        <f>DATOS!H$30</f>
        <v>0</v>
      </c>
      <c r="F7" s="3">
        <f>DATOS!J$30</f>
        <v>2.4500000000000001E-2</v>
      </c>
      <c r="G7" s="3">
        <f>DATOS!L$30</f>
        <v>0</v>
      </c>
      <c r="H7" s="3">
        <f>DATOS!N$30</f>
        <v>0</v>
      </c>
      <c r="I7" s="3">
        <f>DATOS!P$30</f>
        <v>0</v>
      </c>
      <c r="J7" s="3">
        <f>DATOS!R$30</f>
        <v>4.4999999999999997E-3</v>
      </c>
      <c r="K7" s="3">
        <f>DATOS!T$30</f>
        <v>4.5499999999999999E-2</v>
      </c>
      <c r="L7" s="3">
        <f>DATOS!V$30</f>
        <v>7.9000000000000008E-3</v>
      </c>
      <c r="M7" s="3">
        <f>DATOS!X$30</f>
        <v>0</v>
      </c>
      <c r="N7" s="3">
        <f>DATOS!Z$30</f>
        <v>4.6300000000000001E-2</v>
      </c>
    </row>
    <row r="8" spans="2:41" x14ac:dyDescent="0.25">
      <c r="B8" s="1" t="s">
        <v>13</v>
      </c>
      <c r="C8" s="4">
        <f>DATOS!D$31</f>
        <v>0</v>
      </c>
      <c r="D8" s="4">
        <f>DATOS!F$31</f>
        <v>0</v>
      </c>
      <c r="E8" s="4">
        <f>DATOS!H$31</f>
        <v>0</v>
      </c>
      <c r="F8" s="4">
        <f>DATOS!J$31</f>
        <v>0</v>
      </c>
      <c r="G8" s="4">
        <f>DATOS!L$31</f>
        <v>0</v>
      </c>
      <c r="H8" s="4">
        <f>DATOS!N$31</f>
        <v>0</v>
      </c>
      <c r="I8" s="4">
        <f>DATOS!P$31</f>
        <v>0</v>
      </c>
      <c r="J8" s="4">
        <f>DATOS!R$31</f>
        <v>0</v>
      </c>
      <c r="K8" s="4">
        <f>DATOS!T$31</f>
        <v>0</v>
      </c>
      <c r="L8" s="4">
        <f>DATOS!V$31</f>
        <v>0</v>
      </c>
      <c r="M8" s="4">
        <f>DATOS!X$31</f>
        <v>0</v>
      </c>
      <c r="N8" s="4">
        <f>DATOS!Z$31</f>
        <v>0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>
        <f>DATOS!D$32</f>
        <v>0</v>
      </c>
      <c r="D11" s="4">
        <f>DATOS!F$32</f>
        <v>0</v>
      </c>
      <c r="E11" s="4">
        <f>DATOS!H$32</f>
        <v>0</v>
      </c>
      <c r="F11" s="4">
        <f>DATOS!J$32</f>
        <v>0</v>
      </c>
      <c r="G11" s="4">
        <f>DATOS!L$32</f>
        <v>0</v>
      </c>
      <c r="H11" s="4">
        <f>DATOS!N$32</f>
        <v>0</v>
      </c>
      <c r="I11" s="4">
        <f>DATOS!P$32</f>
        <v>0</v>
      </c>
      <c r="J11" s="4">
        <f>DATOS!R$32</f>
        <v>0</v>
      </c>
      <c r="K11" s="4">
        <f>DATOS!T$32</f>
        <v>0</v>
      </c>
      <c r="L11" s="4">
        <f>DATOS!V$32</f>
        <v>0</v>
      </c>
      <c r="M11" s="4">
        <f>DATOS!X$32</f>
        <v>0</v>
      </c>
      <c r="N11" s="4">
        <f>DATOS!Z$32</f>
        <v>0</v>
      </c>
    </row>
    <row r="12" spans="2:41" x14ac:dyDescent="0.25">
      <c r="B12" s="1" t="s">
        <v>126</v>
      </c>
      <c r="C12" s="4">
        <f>DATOS!D$33</f>
        <v>0</v>
      </c>
      <c r="D12" s="4">
        <f>DATOS!F$33</f>
        <v>0</v>
      </c>
      <c r="E12" s="4">
        <f>DATOS!H$33</f>
        <v>0</v>
      </c>
      <c r="F12" s="4">
        <f>DATOS!J$33</f>
        <v>0</v>
      </c>
      <c r="G12" s="4">
        <f>DATOS!L$33</f>
        <v>0</v>
      </c>
      <c r="H12" s="4">
        <f>DATOS!N$33</f>
        <v>0</v>
      </c>
      <c r="I12" s="4">
        <f>DATOS!P$33</f>
        <v>0</v>
      </c>
      <c r="J12" s="4">
        <f>DATOS!R$33</f>
        <v>0</v>
      </c>
      <c r="K12" s="4">
        <f>DATOS!T$33</f>
        <v>0</v>
      </c>
      <c r="L12" s="4">
        <f>DATOS!V$33</f>
        <v>0</v>
      </c>
      <c r="M12" s="4">
        <f>DATOS!X$33</f>
        <v>0</v>
      </c>
      <c r="N12" s="4">
        <f>DATOS!Z$33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64">
        <f>DATOS!D$34</f>
        <v>0</v>
      </c>
      <c r="D17" s="64">
        <f>DATOS!F$34</f>
        <v>0</v>
      </c>
      <c r="E17" s="64">
        <f>DATOS!H$34</f>
        <v>0</v>
      </c>
      <c r="F17" s="64">
        <f>DATOS!J$34</f>
        <v>0</v>
      </c>
      <c r="G17" s="64">
        <f>DATOS!L$34</f>
        <v>0</v>
      </c>
      <c r="H17" s="64">
        <f>DATOS!N$34</f>
        <v>0</v>
      </c>
      <c r="I17" s="64">
        <f>DATOS!P$34</f>
        <v>0</v>
      </c>
      <c r="J17" s="64">
        <f>DATOS!R$34</f>
        <v>4.4999999999999997E-3</v>
      </c>
      <c r="K17" s="64">
        <f>DATOS!T$34</f>
        <v>4.5499999999999999E-2</v>
      </c>
      <c r="L17" s="64">
        <f>DATOS!V$34</f>
        <v>7.9000000000000008E-3</v>
      </c>
      <c r="M17" s="64">
        <f>DATOS!X$34</f>
        <v>0</v>
      </c>
      <c r="N17" s="64">
        <f>DATOS!Z$34</f>
        <v>4.6300000000000001E-2</v>
      </c>
      <c r="R17" s="1654" t="s">
        <v>29</v>
      </c>
      <c r="S17" s="1654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DATOS!H35</f>
        <v>4.3E-3</v>
      </c>
      <c r="F19" s="78"/>
      <c r="G19" s="78"/>
      <c r="H19" s="79">
        <f>DATOS!N35</f>
        <v>7.9000000000000008E-3</v>
      </c>
      <c r="I19" s="78"/>
      <c r="J19" s="78"/>
      <c r="K19" s="79">
        <f>DATOS!T35</f>
        <v>1.66E-2</v>
      </c>
      <c r="L19" s="78"/>
      <c r="M19" s="78"/>
      <c r="N19" s="79">
        <f>DATOS!Z35</f>
        <v>1.6400000000000001E-2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5.57E-2</v>
      </c>
      <c r="F21" s="10"/>
      <c r="G21" s="10"/>
      <c r="H21" s="9">
        <f>H20-H19</f>
        <v>5.2099999999999994E-2</v>
      </c>
      <c r="I21" s="10"/>
      <c r="J21" s="9"/>
      <c r="K21" s="9">
        <f>K20-K19</f>
        <v>4.3399999999999994E-2</v>
      </c>
      <c r="L21" s="10"/>
      <c r="M21" s="9"/>
      <c r="N21" s="9">
        <f>N20-N19</f>
        <v>4.36E-2</v>
      </c>
    </row>
    <row r="22" spans="2:19" ht="15.75" thickBot="1" x14ac:dyDescent="0.3"/>
    <row r="23" spans="2:19" ht="27.75" thickTop="1" thickBot="1" x14ac:dyDescent="0.45">
      <c r="E23" s="1658" t="s">
        <v>19</v>
      </c>
      <c r="F23" s="1659"/>
      <c r="G23" s="1659"/>
      <c r="H23" s="1659"/>
      <c r="I23" s="1660"/>
    </row>
    <row r="24" spans="2:19" ht="15.75" thickTop="1" x14ac:dyDescent="0.25"/>
    <row r="25" spans="2:19" ht="15.75" thickBot="1" x14ac:dyDescent="0.3">
      <c r="B25" s="20" t="s">
        <v>821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SUM(DATOS!D$23:D$25)</f>
        <v>7.5</v>
      </c>
      <c r="D26" s="15">
        <f>SUM(DATOS!F$23:F$25)</f>
        <v>7.5</v>
      </c>
      <c r="E26" s="15">
        <f>SUM(DATOS!H$23:H$25)</f>
        <v>7.5</v>
      </c>
      <c r="F26" s="15">
        <f>SUM(DATOS!J$23:J$25)</f>
        <v>7.5</v>
      </c>
      <c r="G26" s="15">
        <f>SUM(DATOS!L$23:L$25)</f>
        <v>7.5</v>
      </c>
      <c r="H26" s="15">
        <f>SUM(DATOS!N$23:N$25)</f>
        <v>7.5</v>
      </c>
      <c r="I26" s="15">
        <f>SUM(DATOS!P$23:P$25)</f>
        <v>7.5</v>
      </c>
      <c r="J26" s="15">
        <f>SUM(DATOS!R$23:R$25)</f>
        <v>7.5</v>
      </c>
      <c r="K26" s="15">
        <f>SUM(DATOS!T$23:T$25)</f>
        <v>7.5</v>
      </c>
      <c r="L26" s="15">
        <f>SUM(DATOS!V$23:V$25)</f>
        <v>7.79</v>
      </c>
      <c r="M26" s="15">
        <f>SUM(DATOS!X$23:X$25)</f>
        <v>7.79</v>
      </c>
      <c r="N26" s="15">
        <f>SUM(DATOS!Z$23:Z$25)</f>
        <v>2</v>
      </c>
    </row>
    <row r="27" spans="2:19" x14ac:dyDescent="0.25">
      <c r="B27" s="12" t="s">
        <v>22</v>
      </c>
      <c r="C27" s="16">
        <f>DATOS!D$25</f>
        <v>2.5</v>
      </c>
      <c r="D27" s="16">
        <f>DATOS!F$25</f>
        <v>2.5</v>
      </c>
      <c r="E27" s="16">
        <f>DATOS!H$25</f>
        <v>2.5</v>
      </c>
      <c r="F27" s="16">
        <f>DATOS!J$25</f>
        <v>2.5</v>
      </c>
      <c r="G27" s="16">
        <f>DATOS!L$25</f>
        <v>2.5</v>
      </c>
      <c r="H27" s="16">
        <f>DATOS!N$25</f>
        <v>2.5</v>
      </c>
      <c r="I27" s="16">
        <f>DATOS!P$25</f>
        <v>2.5</v>
      </c>
      <c r="J27" s="16">
        <f>DATOS!R$25</f>
        <v>2.5</v>
      </c>
      <c r="K27" s="16">
        <f>DATOS!T$25</f>
        <v>2.5</v>
      </c>
      <c r="L27" s="16">
        <f>DATOS!V$25</f>
        <v>2.5</v>
      </c>
      <c r="M27" s="16">
        <f>DATOS!X$25</f>
        <v>2.5</v>
      </c>
      <c r="N27" s="16">
        <f>DATOS!Z$25</f>
        <v>0</v>
      </c>
    </row>
    <row r="28" spans="2:19" ht="18.75" x14ac:dyDescent="0.3">
      <c r="B28" s="77" t="s">
        <v>27</v>
      </c>
      <c r="C28" s="368">
        <f>(C$27/C$26)</f>
        <v>0.33333333333333331</v>
      </c>
      <c r="D28" s="368">
        <f t="shared" ref="D28:N28" si="0">(D$27/D$26)</f>
        <v>0.33333333333333331</v>
      </c>
      <c r="E28" s="368">
        <f t="shared" si="0"/>
        <v>0.33333333333333331</v>
      </c>
      <c r="F28" s="368">
        <f t="shared" si="0"/>
        <v>0.33333333333333331</v>
      </c>
      <c r="G28" s="368">
        <f t="shared" si="0"/>
        <v>0.33333333333333331</v>
      </c>
      <c r="H28" s="368">
        <f t="shared" si="0"/>
        <v>0.33333333333333331</v>
      </c>
      <c r="I28" s="368">
        <f t="shared" si="0"/>
        <v>0.33333333333333331</v>
      </c>
      <c r="J28" s="368">
        <f t="shared" si="0"/>
        <v>0.33333333333333331</v>
      </c>
      <c r="K28" s="368">
        <f t="shared" si="0"/>
        <v>0.33333333333333331</v>
      </c>
      <c r="L28" s="368">
        <f t="shared" si="0"/>
        <v>0.3209242618741977</v>
      </c>
      <c r="M28" s="368">
        <f t="shared" si="0"/>
        <v>0.3209242618741977</v>
      </c>
      <c r="N28" s="368">
        <f t="shared" si="0"/>
        <v>0</v>
      </c>
      <c r="R28" s="1654" t="s">
        <v>30</v>
      </c>
      <c r="S28" s="1654"/>
    </row>
    <row r="29" spans="2:19" x14ac:dyDescent="0.25">
      <c r="B29" s="1" t="s">
        <v>20</v>
      </c>
      <c r="C29" s="369">
        <v>0.15</v>
      </c>
      <c r="D29" s="369">
        <v>0.15</v>
      </c>
      <c r="E29" s="369">
        <v>0.15</v>
      </c>
      <c r="F29" s="369">
        <v>0.15</v>
      </c>
      <c r="G29" s="369">
        <v>0.15</v>
      </c>
      <c r="H29" s="369">
        <v>0.15</v>
      </c>
      <c r="I29" s="369">
        <v>0.15</v>
      </c>
      <c r="J29" s="369">
        <v>0.15</v>
      </c>
      <c r="K29" s="369">
        <v>0.15</v>
      </c>
      <c r="L29" s="369">
        <v>0.15</v>
      </c>
      <c r="M29" s="369">
        <v>0.15</v>
      </c>
      <c r="N29" s="369">
        <v>0.15</v>
      </c>
    </row>
    <row r="30" spans="2:19" x14ac:dyDescent="0.25">
      <c r="B30" s="8" t="s">
        <v>17</v>
      </c>
      <c r="C30" s="9">
        <f>C29-C28</f>
        <v>-0.18333333333333332</v>
      </c>
      <c r="D30" s="9">
        <f t="shared" ref="D30:N30" si="1">D29-D28</f>
        <v>-0.18333333333333332</v>
      </c>
      <c r="E30" s="9">
        <f t="shared" si="1"/>
        <v>-0.18333333333333332</v>
      </c>
      <c r="F30" s="9">
        <f t="shared" si="1"/>
        <v>-0.18333333333333332</v>
      </c>
      <c r="G30" s="9">
        <f t="shared" si="1"/>
        <v>-0.18333333333333332</v>
      </c>
      <c r="H30" s="9">
        <f t="shared" si="1"/>
        <v>-0.18333333333333332</v>
      </c>
      <c r="I30" s="9">
        <f t="shared" si="1"/>
        <v>-0.18333333333333332</v>
      </c>
      <c r="J30" s="9">
        <f t="shared" si="1"/>
        <v>-0.18333333333333332</v>
      </c>
      <c r="K30" s="9">
        <f t="shared" si="1"/>
        <v>-0.18333333333333332</v>
      </c>
      <c r="L30" s="9">
        <f t="shared" si="1"/>
        <v>-0.17092426187419771</v>
      </c>
      <c r="M30" s="9">
        <f t="shared" si="1"/>
        <v>-0.17092426187419771</v>
      </c>
      <c r="N30" s="9">
        <f t="shared" si="1"/>
        <v>0.15</v>
      </c>
    </row>
    <row r="31" spans="2:19" ht="15.75" thickBot="1" x14ac:dyDescent="0.3"/>
    <row r="32" spans="2:19" ht="27.75" thickTop="1" thickBot="1" x14ac:dyDescent="0.45">
      <c r="E32" s="1658" t="s">
        <v>23</v>
      </c>
      <c r="F32" s="1659"/>
      <c r="G32" s="1659"/>
      <c r="H32" s="1659"/>
      <c r="I32" s="1660"/>
    </row>
    <row r="33" spans="2:20" ht="15.75" thickTop="1" x14ac:dyDescent="0.25"/>
    <row r="34" spans="2:20" ht="15.75" thickBot="1" x14ac:dyDescent="0.3">
      <c r="B34" s="20" t="s">
        <v>821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DATOS!D$26</f>
        <v>7.5</v>
      </c>
      <c r="D35" s="15">
        <f>DATOS!F$26</f>
        <v>7.5</v>
      </c>
      <c r="E35" s="15">
        <f>DATOS!H$26</f>
        <v>7.5</v>
      </c>
      <c r="F35" s="15">
        <f>DATOS!J$26</f>
        <v>7.5</v>
      </c>
      <c r="G35" s="15">
        <f>DATOS!L$26</f>
        <v>7.5</v>
      </c>
      <c r="H35" s="15">
        <f>DATOS!N$26</f>
        <v>7.5</v>
      </c>
      <c r="I35" s="15">
        <f>DATOS!P$26</f>
        <v>7.5</v>
      </c>
      <c r="J35" s="15">
        <f>DATOS!R$26</f>
        <v>7.5</v>
      </c>
      <c r="K35" s="15">
        <f>DATOS!T$26</f>
        <v>7.5</v>
      </c>
      <c r="L35" s="15">
        <f>DATOS!V$26</f>
        <v>7.79</v>
      </c>
      <c r="M35" s="15">
        <f>DATOS!X$26</f>
        <v>7.79</v>
      </c>
      <c r="N35" s="15">
        <f>DATOS!Z$26</f>
        <v>2</v>
      </c>
    </row>
    <row r="36" spans="2:20" x14ac:dyDescent="0.25">
      <c r="B36" s="12" t="s">
        <v>24</v>
      </c>
      <c r="C36" s="14">
        <f>DATOS!D$27</f>
        <v>6.5</v>
      </c>
      <c r="D36" s="14">
        <f>DATOS!F$27</f>
        <v>6.5</v>
      </c>
      <c r="E36" s="14">
        <f>DATOS!H$27</f>
        <v>6.5</v>
      </c>
      <c r="F36" s="14">
        <f>DATOS!J$27</f>
        <v>6.5</v>
      </c>
      <c r="G36" s="14">
        <f>DATOS!L$27</f>
        <v>6.5</v>
      </c>
      <c r="H36" s="14">
        <f>DATOS!N$27</f>
        <v>6.5</v>
      </c>
      <c r="I36" s="14">
        <f>DATOS!P$27</f>
        <v>6.5</v>
      </c>
      <c r="J36" s="14">
        <f>DATOS!R$27</f>
        <v>6.5</v>
      </c>
      <c r="K36" s="14">
        <f>DATOS!T$27</f>
        <v>6.5</v>
      </c>
      <c r="L36" s="14">
        <f>DATOS!V$27</f>
        <v>6.5</v>
      </c>
      <c r="M36" s="14">
        <f>DATOS!X$27</f>
        <v>6.79</v>
      </c>
      <c r="N36" s="14">
        <f>DATOS!Z$27</f>
        <v>6.5</v>
      </c>
    </row>
    <row r="37" spans="2:20" x14ac:dyDescent="0.25">
      <c r="B37" s="12" t="s">
        <v>73</v>
      </c>
      <c r="C37" s="366">
        <f>(C$36/C$35)</f>
        <v>0.8666666666666667</v>
      </c>
      <c r="D37" s="366">
        <f t="shared" ref="D37:N37" si="2">(D$36/D$35)</f>
        <v>0.8666666666666667</v>
      </c>
      <c r="E37" s="366">
        <f t="shared" si="2"/>
        <v>0.8666666666666667</v>
      </c>
      <c r="F37" s="366">
        <f t="shared" si="2"/>
        <v>0.8666666666666667</v>
      </c>
      <c r="G37" s="366">
        <f t="shared" si="2"/>
        <v>0.8666666666666667</v>
      </c>
      <c r="H37" s="366">
        <f t="shared" si="2"/>
        <v>0.8666666666666667</v>
      </c>
      <c r="I37" s="366">
        <f t="shared" si="2"/>
        <v>0.8666666666666667</v>
      </c>
      <c r="J37" s="366">
        <f t="shared" si="2"/>
        <v>0.8666666666666667</v>
      </c>
      <c r="K37" s="366">
        <f t="shared" si="2"/>
        <v>0.8666666666666667</v>
      </c>
      <c r="L37" s="366">
        <f t="shared" si="2"/>
        <v>0.83440308087291404</v>
      </c>
      <c r="M37" s="366">
        <f t="shared" si="2"/>
        <v>0.87163029525032087</v>
      </c>
      <c r="N37" s="366">
        <f t="shared" si="2"/>
        <v>3.25</v>
      </c>
    </row>
    <row r="38" spans="2:20" ht="18.75" x14ac:dyDescent="0.3">
      <c r="B38" s="77" t="s">
        <v>27</v>
      </c>
      <c r="C38" s="80"/>
      <c r="D38" s="80"/>
      <c r="E38" s="368">
        <f>(C36+D36+E36)/(C35+D35+E35)</f>
        <v>0.8666666666666667</v>
      </c>
      <c r="F38" s="80"/>
      <c r="G38" s="80"/>
      <c r="H38" s="368">
        <f>(F36+G36+H36)/(F35+G35+H35)</f>
        <v>0.8666666666666667</v>
      </c>
      <c r="I38" s="80"/>
      <c r="J38" s="80"/>
      <c r="K38" s="368">
        <f>(I36+J36+K36)/(I35+J35+K35)</f>
        <v>0.8666666666666667</v>
      </c>
      <c r="L38" s="80"/>
      <c r="M38" s="80"/>
      <c r="N38" s="368">
        <f>(L36+M36+N36)/(L35+M35+N35)</f>
        <v>1.1257110352673494</v>
      </c>
    </row>
    <row r="39" spans="2:20" x14ac:dyDescent="0.25">
      <c r="B39" s="1" t="s">
        <v>20</v>
      </c>
      <c r="C39" s="18"/>
      <c r="D39" s="18"/>
      <c r="E39" s="369">
        <v>0.6</v>
      </c>
      <c r="F39" s="18"/>
      <c r="G39" s="18"/>
      <c r="H39" s="369">
        <v>0.6</v>
      </c>
      <c r="I39" s="18"/>
      <c r="J39" s="18"/>
      <c r="K39" s="369">
        <v>0.6</v>
      </c>
      <c r="L39" s="18"/>
      <c r="M39" s="18"/>
      <c r="N39" s="369">
        <v>0.6</v>
      </c>
    </row>
    <row r="40" spans="2:20" x14ac:dyDescent="0.25">
      <c r="B40" s="1" t="s">
        <v>17</v>
      </c>
      <c r="C40" s="36"/>
      <c r="D40" s="36"/>
      <c r="E40" s="369">
        <f>E39-E38</f>
        <v>-0.26666666666666672</v>
      </c>
      <c r="F40" s="36"/>
      <c r="G40" s="36"/>
      <c r="H40" s="369">
        <f>H39-H38</f>
        <v>-0.26666666666666672</v>
      </c>
      <c r="I40" s="36"/>
      <c r="J40" s="36"/>
      <c r="K40" s="369">
        <f>K39-K38</f>
        <v>-0.26666666666666672</v>
      </c>
      <c r="L40" s="36"/>
      <c r="M40" s="36"/>
      <c r="N40" s="369">
        <f>N39-N38</f>
        <v>-0.52571103526734941</v>
      </c>
    </row>
    <row r="41" spans="2:20" ht="15.75" thickBot="1" x14ac:dyDescent="0.3">
      <c r="Q41" s="1654" t="s">
        <v>25</v>
      </c>
      <c r="R41" s="1654"/>
      <c r="S41" s="1654"/>
      <c r="T41" s="1654"/>
    </row>
    <row r="42" spans="2:20" ht="27.75" thickTop="1" thickBot="1" x14ac:dyDescent="0.45">
      <c r="E42" s="1658" t="s">
        <v>25</v>
      </c>
      <c r="F42" s="1659"/>
      <c r="G42" s="1659"/>
      <c r="H42" s="1659"/>
      <c r="I42" s="1659"/>
      <c r="J42" s="1663"/>
    </row>
    <row r="43" spans="2:20" ht="15.75" thickTop="1" x14ac:dyDescent="0.25"/>
    <row r="44" spans="2:20" ht="15.75" thickBot="1" x14ac:dyDescent="0.3">
      <c r="B44" s="20" t="s">
        <v>821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DATOS!D$26</f>
        <v>7.5</v>
      </c>
      <c r="D45" s="15">
        <f>DATOS!F$26</f>
        <v>7.5</v>
      </c>
      <c r="E45" s="15">
        <f>DATOS!H$26</f>
        <v>7.5</v>
      </c>
      <c r="F45" s="15">
        <f>DATOS!J$26</f>
        <v>7.5</v>
      </c>
      <c r="G45" s="15">
        <f>DATOS!L$26</f>
        <v>7.5</v>
      </c>
      <c r="H45" s="15">
        <f>DATOS!N$26</f>
        <v>7.5</v>
      </c>
      <c r="I45" s="15">
        <f>DATOS!P$26</f>
        <v>7.5</v>
      </c>
      <c r="J45" s="15">
        <f>DATOS!R$26</f>
        <v>7.5</v>
      </c>
      <c r="K45" s="15">
        <f>DATOS!T$26</f>
        <v>7.5</v>
      </c>
      <c r="L45" s="15">
        <f>DATOS!V$26</f>
        <v>7.79</v>
      </c>
      <c r="M45" s="15">
        <f>DATOS!X$26</f>
        <v>7.79</v>
      </c>
      <c r="N45" s="15">
        <f>DATOS!Z$26</f>
        <v>2</v>
      </c>
    </row>
    <row r="46" spans="2:20" x14ac:dyDescent="0.25">
      <c r="B46" s="12" t="s">
        <v>26</v>
      </c>
      <c r="C46" s="14">
        <f>DATOS!D$36</f>
        <v>0</v>
      </c>
      <c r="D46" s="14">
        <f>DATOS!F$36</f>
        <v>0</v>
      </c>
      <c r="E46" s="14">
        <f>DATOS!H$36</f>
        <v>0</v>
      </c>
      <c r="F46" s="14">
        <f>DATOS!J$36</f>
        <v>0</v>
      </c>
      <c r="G46" s="14">
        <f>DATOS!L$36</f>
        <v>0</v>
      </c>
      <c r="H46" s="14">
        <f>DATOS!N$36</f>
        <v>0</v>
      </c>
      <c r="I46" s="14">
        <f>DATOS!P$36</f>
        <v>0</v>
      </c>
      <c r="J46" s="14">
        <f>DATOS!R$36</f>
        <v>0</v>
      </c>
      <c r="K46" s="14">
        <f>DATOS!T$36</f>
        <v>0</v>
      </c>
      <c r="L46" s="14">
        <f>DATOS!V$36</f>
        <v>1</v>
      </c>
      <c r="M46" s="14">
        <f>DATOS!X$36</f>
        <v>0</v>
      </c>
      <c r="N46" s="14">
        <f>DATOS!Z$36</f>
        <v>0</v>
      </c>
    </row>
    <row r="47" spans="2:20" ht="18.75" x14ac:dyDescent="0.3">
      <c r="B47" s="77" t="s">
        <v>27</v>
      </c>
      <c r="C47" s="368">
        <f>(C$46/C$45)</f>
        <v>0</v>
      </c>
      <c r="D47" s="368">
        <f t="shared" ref="D47:N47" si="3">(D$46/D$45)</f>
        <v>0</v>
      </c>
      <c r="E47" s="368">
        <f t="shared" si="3"/>
        <v>0</v>
      </c>
      <c r="F47" s="368">
        <f t="shared" si="3"/>
        <v>0</v>
      </c>
      <c r="G47" s="368">
        <f t="shared" si="3"/>
        <v>0</v>
      </c>
      <c r="H47" s="368">
        <f t="shared" si="3"/>
        <v>0</v>
      </c>
      <c r="I47" s="368">
        <f t="shared" si="3"/>
        <v>0</v>
      </c>
      <c r="J47" s="368">
        <f t="shared" si="3"/>
        <v>0</v>
      </c>
      <c r="K47" s="368">
        <f t="shared" si="3"/>
        <v>0</v>
      </c>
      <c r="L47" s="368">
        <f t="shared" si="3"/>
        <v>0.12836970474967907</v>
      </c>
      <c r="M47" s="368">
        <f t="shared" si="3"/>
        <v>0</v>
      </c>
      <c r="N47" s="368">
        <f t="shared" si="3"/>
        <v>0</v>
      </c>
    </row>
    <row r="48" spans="2:20" x14ac:dyDescent="0.25">
      <c r="B48" s="1" t="s">
        <v>20</v>
      </c>
      <c r="C48" s="369">
        <v>0.04</v>
      </c>
      <c r="D48" s="369">
        <v>0.04</v>
      </c>
      <c r="E48" s="369">
        <v>0.04</v>
      </c>
      <c r="F48" s="369">
        <v>0.04</v>
      </c>
      <c r="G48" s="369">
        <v>0.04</v>
      </c>
      <c r="H48" s="369">
        <v>0.04</v>
      </c>
      <c r="I48" s="369">
        <v>0.04</v>
      </c>
      <c r="J48" s="369">
        <v>0.04</v>
      </c>
      <c r="K48" s="369">
        <v>0.04</v>
      </c>
      <c r="L48" s="369">
        <v>0.04</v>
      </c>
      <c r="M48" s="369">
        <v>0.04</v>
      </c>
      <c r="N48" s="369">
        <v>0.04</v>
      </c>
    </row>
    <row r="49" spans="2:20" x14ac:dyDescent="0.25">
      <c r="B49" s="8" t="s">
        <v>17</v>
      </c>
      <c r="C49" s="375">
        <f>C48-C47</f>
        <v>0.04</v>
      </c>
      <c r="D49" s="375">
        <f t="shared" ref="D49:N49" si="4">D48-D47</f>
        <v>0.04</v>
      </c>
      <c r="E49" s="375">
        <f t="shared" si="4"/>
        <v>0.04</v>
      </c>
      <c r="F49" s="375">
        <f t="shared" si="4"/>
        <v>0.04</v>
      </c>
      <c r="G49" s="375">
        <f t="shared" si="4"/>
        <v>0.04</v>
      </c>
      <c r="H49" s="375">
        <f t="shared" si="4"/>
        <v>0.04</v>
      </c>
      <c r="I49" s="375">
        <f t="shared" si="4"/>
        <v>0.04</v>
      </c>
      <c r="J49" s="375">
        <f t="shared" si="4"/>
        <v>0.04</v>
      </c>
      <c r="K49" s="375">
        <f t="shared" si="4"/>
        <v>0.04</v>
      </c>
      <c r="L49" s="375">
        <f t="shared" si="4"/>
        <v>-8.8369704749679062E-2</v>
      </c>
      <c r="M49" s="375">
        <f t="shared" si="4"/>
        <v>0.04</v>
      </c>
      <c r="N49" s="375">
        <f t="shared" si="4"/>
        <v>0.04</v>
      </c>
    </row>
    <row r="50" spans="2:20" ht="15.75" thickBot="1" x14ac:dyDescent="0.3"/>
    <row r="51" spans="2:20" ht="27.75" thickTop="1" thickBot="1" x14ac:dyDescent="0.45">
      <c r="E51" s="1658" t="s">
        <v>28</v>
      </c>
      <c r="F51" s="1659"/>
      <c r="G51" s="1659"/>
      <c r="H51" s="1659"/>
      <c r="I51" s="1660"/>
      <c r="R51" s="1670" t="s">
        <v>28</v>
      </c>
      <c r="S51" s="1671"/>
    </row>
    <row r="52" spans="2:20" ht="15.75" thickTop="1" x14ac:dyDescent="0.25"/>
    <row r="53" spans="2:20" ht="15.75" thickBot="1" x14ac:dyDescent="0.3">
      <c r="B53" s="20" t="s">
        <v>821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DATOS!D$37</f>
        <v>0</v>
      </c>
      <c r="D54" s="83">
        <f>DATOS!F$37</f>
        <v>0</v>
      </c>
      <c r="E54" s="83">
        <f>DATOS!H$37</f>
        <v>0</v>
      </c>
      <c r="F54" s="83">
        <f>DATOS!J$37</f>
        <v>0</v>
      </c>
      <c r="G54" s="83">
        <f>DATOS!L$37</f>
        <v>0</v>
      </c>
      <c r="H54" s="83">
        <f>DATOS!N$37</f>
        <v>0</v>
      </c>
      <c r="I54" s="83">
        <f>DATOS!P$37</f>
        <v>0</v>
      </c>
      <c r="J54" s="83">
        <f>DATOS!R$37</f>
        <v>0</v>
      </c>
      <c r="K54" s="83">
        <f>DATOS!T$37</f>
        <v>0</v>
      </c>
      <c r="L54" s="83">
        <f>DATOS!V$37</f>
        <v>0</v>
      </c>
      <c r="M54" s="83">
        <f>DATOS!X$37</f>
        <v>0</v>
      </c>
      <c r="N54" s="83">
        <f>DATOS!Z$37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941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thickTop="1" thickBot="1" x14ac:dyDescent="0.45">
      <c r="C58" s="1658" t="s">
        <v>33</v>
      </c>
      <c r="D58" s="1659"/>
      <c r="E58" s="1659"/>
      <c r="F58" s="1659"/>
      <c r="G58" s="1659"/>
      <c r="H58" s="1659"/>
      <c r="I58" s="1659"/>
      <c r="J58" s="1659"/>
      <c r="K58" s="1659"/>
      <c r="L58" s="1672"/>
      <c r="M58" s="1663"/>
      <c r="Q58" s="1654" t="s">
        <v>31</v>
      </c>
      <c r="R58" s="1654"/>
      <c r="S58" s="1654"/>
      <c r="T58" s="1654"/>
    </row>
    <row r="59" spans="2:20" ht="15.75" thickTop="1" x14ac:dyDescent="0.25"/>
    <row r="60" spans="2:20" ht="15.75" thickBot="1" x14ac:dyDescent="0.3">
      <c r="B60" s="20" t="s">
        <v>821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7">
        <f>DATOS!D$7</f>
        <v>1.5</v>
      </c>
      <c r="D61" s="367">
        <f>DATOS!F$7</f>
        <v>1.5</v>
      </c>
      <c r="E61" s="367">
        <f>DATOS!H$7</f>
        <v>1.5</v>
      </c>
      <c r="F61" s="367">
        <f>DATOS!J$7</f>
        <v>1.5</v>
      </c>
      <c r="G61" s="367">
        <f>DATOS!L$7</f>
        <v>1.5</v>
      </c>
      <c r="H61" s="367">
        <f>DATOS!N$7</f>
        <v>0</v>
      </c>
      <c r="I61" s="367">
        <f>DATOS!P$7</f>
        <v>0</v>
      </c>
      <c r="J61" s="367">
        <f>DATOS!R$7</f>
        <v>0</v>
      </c>
      <c r="K61" s="367">
        <f>DATOS!T$7</f>
        <v>0</v>
      </c>
      <c r="L61" s="367">
        <f>DATOS!V$7</f>
        <v>0</v>
      </c>
      <c r="M61" s="367">
        <f>DATOS!X$7</f>
        <v>0</v>
      </c>
      <c r="N61" s="367">
        <f>DATOS!Z$7</f>
        <v>0</v>
      </c>
    </row>
    <row r="62" spans="2:20" x14ac:dyDescent="0.25">
      <c r="B62" s="1" t="s">
        <v>20</v>
      </c>
      <c r="C62" s="371">
        <v>0.85</v>
      </c>
      <c r="D62" s="371">
        <v>0.85</v>
      </c>
      <c r="E62" s="371">
        <v>0.85</v>
      </c>
      <c r="F62" s="371">
        <v>0.85</v>
      </c>
      <c r="G62" s="371">
        <v>0.85</v>
      </c>
      <c r="H62" s="371">
        <v>0.85</v>
      </c>
      <c r="I62" s="371">
        <v>0.85</v>
      </c>
      <c r="J62" s="371">
        <v>0.85</v>
      </c>
      <c r="K62" s="371">
        <v>0.85</v>
      </c>
      <c r="L62" s="371">
        <v>0.85</v>
      </c>
      <c r="M62" s="371">
        <v>0.85</v>
      </c>
      <c r="N62" s="371">
        <v>0.85</v>
      </c>
    </row>
    <row r="63" spans="2:20" x14ac:dyDescent="0.25">
      <c r="B63" s="8" t="s">
        <v>17</v>
      </c>
      <c r="C63" s="370">
        <f>C$61-C$62</f>
        <v>0.65</v>
      </c>
      <c r="D63" s="370">
        <f t="shared" ref="D63:N63" si="6">D$61-D$62</f>
        <v>0.65</v>
      </c>
      <c r="E63" s="370">
        <f t="shared" si="6"/>
        <v>0.65</v>
      </c>
      <c r="F63" s="370">
        <f t="shared" si="6"/>
        <v>0.65</v>
      </c>
      <c r="G63" s="370">
        <f t="shared" si="6"/>
        <v>0.65</v>
      </c>
      <c r="H63" s="370">
        <f t="shared" si="6"/>
        <v>-0.85</v>
      </c>
      <c r="I63" s="370">
        <f t="shared" si="6"/>
        <v>-0.85</v>
      </c>
      <c r="J63" s="370">
        <f t="shared" si="6"/>
        <v>-0.85</v>
      </c>
      <c r="K63" s="370">
        <f t="shared" si="6"/>
        <v>-0.85</v>
      </c>
      <c r="L63" s="370">
        <f t="shared" si="6"/>
        <v>-0.85</v>
      </c>
      <c r="M63" s="370">
        <f t="shared" si="6"/>
        <v>-0.85</v>
      </c>
      <c r="N63" s="370">
        <f t="shared" si="6"/>
        <v>-0.85</v>
      </c>
    </row>
    <row r="64" spans="2:20" ht="15.75" thickBot="1" x14ac:dyDescent="0.3"/>
    <row r="65" spans="2:20" ht="27.75" thickTop="1" thickBot="1" x14ac:dyDescent="0.45">
      <c r="C65" s="1658" t="s">
        <v>32</v>
      </c>
      <c r="D65" s="1659"/>
      <c r="E65" s="1659"/>
      <c r="F65" s="1659"/>
      <c r="G65" s="1659"/>
      <c r="H65" s="1659"/>
      <c r="I65" s="1659"/>
      <c r="J65" s="1659"/>
      <c r="K65" s="1659"/>
      <c r="L65" s="1659"/>
      <c r="M65" s="1660"/>
    </row>
    <row r="66" spans="2:20" ht="15.75" thickTop="1" x14ac:dyDescent="0.25">
      <c r="Q66" s="1654" t="s">
        <v>34</v>
      </c>
      <c r="R66" s="1654"/>
      <c r="S66" s="1654"/>
      <c r="T66" s="1654"/>
    </row>
    <row r="67" spans="2:20" ht="15.75" thickBot="1" x14ac:dyDescent="0.3">
      <c r="B67" s="20" t="s">
        <v>821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2">
        <f>DATOS!D$8</f>
        <v>1.5</v>
      </c>
      <c r="D68" s="372">
        <f>DATOS!F$8</f>
        <v>1.5</v>
      </c>
      <c r="E68" s="372">
        <f>DATOS!H$8</f>
        <v>1.5</v>
      </c>
      <c r="F68" s="372">
        <f>DATOS!J$8</f>
        <v>1.5</v>
      </c>
      <c r="G68" s="372">
        <f>DATOS!L$8</f>
        <v>1.5</v>
      </c>
      <c r="H68" s="372">
        <f>DATOS!N$8</f>
        <v>0</v>
      </c>
      <c r="I68" s="372">
        <f>DATOS!P$8</f>
        <v>0</v>
      </c>
      <c r="J68" s="372">
        <f>DATOS!R$8</f>
        <v>0</v>
      </c>
      <c r="K68" s="372">
        <f>DATOS!T$8</f>
        <v>0</v>
      </c>
      <c r="L68" s="372">
        <f>DATOS!V$8</f>
        <v>0</v>
      </c>
      <c r="M68" s="372">
        <f>DATOS!X$8</f>
        <v>0</v>
      </c>
      <c r="N68" s="372">
        <f>DATOS!Z$8</f>
        <v>0</v>
      </c>
    </row>
    <row r="69" spans="2:20" x14ac:dyDescent="0.25">
      <c r="B69" s="1" t="s">
        <v>20</v>
      </c>
      <c r="C69" s="371">
        <v>0.85</v>
      </c>
      <c r="D69" s="371">
        <v>0.85</v>
      </c>
      <c r="E69" s="371">
        <v>0.85</v>
      </c>
      <c r="F69" s="371">
        <v>0.85</v>
      </c>
      <c r="G69" s="371">
        <v>0.85</v>
      </c>
      <c r="H69" s="371">
        <v>0.85</v>
      </c>
      <c r="I69" s="371">
        <v>0.85</v>
      </c>
      <c r="J69" s="371">
        <v>0.85</v>
      </c>
      <c r="K69" s="371">
        <v>0.85</v>
      </c>
      <c r="L69" s="371">
        <v>0.85</v>
      </c>
      <c r="M69" s="371">
        <v>0.85</v>
      </c>
      <c r="N69" s="371">
        <v>0.85</v>
      </c>
    </row>
    <row r="70" spans="2:20" x14ac:dyDescent="0.25">
      <c r="B70" s="8" t="s">
        <v>17</v>
      </c>
      <c r="C70" s="373">
        <f>C$68-C$69</f>
        <v>0.65</v>
      </c>
      <c r="D70" s="373">
        <f t="shared" ref="D70:N70" si="7">D$68-D$69</f>
        <v>0.65</v>
      </c>
      <c r="E70" s="373">
        <f t="shared" si="7"/>
        <v>0.65</v>
      </c>
      <c r="F70" s="373">
        <f t="shared" si="7"/>
        <v>0.65</v>
      </c>
      <c r="G70" s="373">
        <f t="shared" si="7"/>
        <v>0.65</v>
      </c>
      <c r="H70" s="373">
        <f t="shared" si="7"/>
        <v>-0.85</v>
      </c>
      <c r="I70" s="373">
        <f t="shared" si="7"/>
        <v>-0.85</v>
      </c>
      <c r="J70" s="373">
        <f t="shared" si="7"/>
        <v>-0.85</v>
      </c>
      <c r="K70" s="373">
        <f t="shared" si="7"/>
        <v>-0.85</v>
      </c>
      <c r="L70" s="373">
        <f t="shared" si="7"/>
        <v>-0.85</v>
      </c>
      <c r="M70" s="373">
        <f t="shared" si="7"/>
        <v>-0.85</v>
      </c>
      <c r="N70" s="373">
        <f t="shared" si="7"/>
        <v>-0.85</v>
      </c>
    </row>
    <row r="71" spans="2:20" ht="15.75" thickBot="1" x14ac:dyDescent="0.3"/>
    <row r="72" spans="2:20" ht="27.75" thickTop="1" thickBot="1" x14ac:dyDescent="0.45">
      <c r="E72" s="1658" t="s">
        <v>35</v>
      </c>
      <c r="F72" s="1659"/>
      <c r="G72" s="1659"/>
      <c r="H72" s="1659"/>
      <c r="I72" s="1660"/>
    </row>
    <row r="73" spans="2:20" ht="16.5" thickTop="1" thickBot="1" x14ac:dyDescent="0.3"/>
    <row r="74" spans="2:20" ht="15.75" thickBot="1" x14ac:dyDescent="0.3">
      <c r="B74" s="29" t="s">
        <v>821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DATOS!D$16</f>
        <v>1047.0899999999999</v>
      </c>
      <c r="D75" s="32">
        <f>DATOS!F$16</f>
        <v>251.98</v>
      </c>
      <c r="E75" s="32">
        <f>DATOS!H$16</f>
        <v>472.46</v>
      </c>
      <c r="F75" s="32">
        <f>DATOS!J$16</f>
        <v>6401.57</v>
      </c>
      <c r="G75" s="32">
        <f>DATOS!L$16</f>
        <v>581.09</v>
      </c>
      <c r="H75" s="32">
        <f>DATOS!N$16</f>
        <v>1980.03</v>
      </c>
      <c r="I75" s="32">
        <f>DATOS!P$16</f>
        <v>2232.96</v>
      </c>
      <c r="J75" s="32">
        <f>DATOS!R$16</f>
        <v>541.41999999999996</v>
      </c>
      <c r="K75" s="32">
        <f>DATOS!T$16</f>
        <v>1602.99</v>
      </c>
      <c r="L75" s="32">
        <f>DATOS!V$16</f>
        <v>601.98</v>
      </c>
      <c r="M75" s="32">
        <f>DATOS!X$16</f>
        <v>120.15</v>
      </c>
      <c r="N75" s="32">
        <f>DATOS!Z$16</f>
        <v>47.99</v>
      </c>
      <c r="Q75" s="1654" t="s">
        <v>35</v>
      </c>
      <c r="R75" s="1654"/>
      <c r="S75" s="1654"/>
      <c r="T75" s="1654"/>
    </row>
    <row r="76" spans="2:20" x14ac:dyDescent="0.25">
      <c r="B76" s="60" t="s">
        <v>37</v>
      </c>
      <c r="C76" s="33">
        <f>DATOS!D$12</f>
        <v>13566.29</v>
      </c>
      <c r="D76" s="33">
        <f>DATOS!F$12</f>
        <v>19011.97</v>
      </c>
      <c r="E76" s="33">
        <f>DATOS!H$12</f>
        <v>14443.8</v>
      </c>
      <c r="F76" s="33">
        <f>DATOS!J$12</f>
        <v>15548.9</v>
      </c>
      <c r="G76" s="33">
        <f>DATOS!L$12</f>
        <v>17763.099999999999</v>
      </c>
      <c r="H76" s="33">
        <f>DATOS!N$12</f>
        <v>17763.099999999999</v>
      </c>
      <c r="I76" s="33">
        <f>DATOS!P$12</f>
        <v>27726.47</v>
      </c>
      <c r="J76" s="33">
        <f>DATOS!R$12</f>
        <v>11631.99</v>
      </c>
      <c r="K76" s="33">
        <f>DATOS!T$12</f>
        <v>13494.81</v>
      </c>
      <c r="L76" s="33">
        <f>DATOS!V$12</f>
        <v>15780.37</v>
      </c>
      <c r="M76" s="33">
        <f>DATOS!X$12</f>
        <v>12003.59</v>
      </c>
      <c r="N76" s="33">
        <f>DATOS!Z$12</f>
        <v>-49007.18</v>
      </c>
    </row>
    <row r="77" spans="2:20" x14ac:dyDescent="0.25">
      <c r="B77" s="60" t="s">
        <v>38</v>
      </c>
      <c r="C77" s="33">
        <f>DATOS!D3</f>
        <v>100491.06</v>
      </c>
      <c r="D77" s="33">
        <f>DATOS!F3</f>
        <v>140829.41</v>
      </c>
      <c r="E77" s="33">
        <f>DATOS!H3</f>
        <v>78383.17</v>
      </c>
      <c r="F77" s="33">
        <f>DATOS!J3</f>
        <v>115177.02</v>
      </c>
      <c r="G77" s="33">
        <f>DATOS!L3</f>
        <v>131578.49</v>
      </c>
      <c r="H77" s="33">
        <f>DATOS!N3</f>
        <v>146938.93</v>
      </c>
      <c r="I77" s="33">
        <f>DATOS!P3</f>
        <v>1171781.1100000001</v>
      </c>
      <c r="J77" s="33">
        <f>DATOS!R3</f>
        <v>15263.97</v>
      </c>
      <c r="K77" s="33">
        <f>DATOS!T3</f>
        <v>163103.23000000001</v>
      </c>
      <c r="L77" s="33">
        <f>DATOS!V3</f>
        <v>168743.54</v>
      </c>
      <c r="M77" s="33">
        <f>DATOS!X3</f>
        <v>154602.73000000001</v>
      </c>
      <c r="N77" s="34">
        <f>DATOS!Z3</f>
        <v>49042.68</v>
      </c>
    </row>
    <row r="78" spans="2:20" x14ac:dyDescent="0.25">
      <c r="B78" s="61" t="s">
        <v>72</v>
      </c>
      <c r="C78" s="369">
        <f>(C$75+C$76)/C$77</f>
        <v>0.1454197020113033</v>
      </c>
      <c r="D78" s="369">
        <f t="shared" ref="D78:N78" si="8">(D$75+D$76)/D$77</f>
        <v>0.13678925446041421</v>
      </c>
      <c r="E78" s="369">
        <f t="shared" si="8"/>
        <v>0.19029926960085947</v>
      </c>
      <c r="F78" s="369">
        <f t="shared" si="8"/>
        <v>0.19058029110320793</v>
      </c>
      <c r="G78" s="369">
        <f t="shared" si="8"/>
        <v>0.13941632861115824</v>
      </c>
      <c r="H78" s="369">
        <f t="shared" si="8"/>
        <v>0.13436282678797237</v>
      </c>
      <c r="I78" s="369">
        <f t="shared" si="8"/>
        <v>2.5567428715419383E-2</v>
      </c>
      <c r="J78" s="369">
        <f t="shared" si="8"/>
        <v>0.79752580750617308</v>
      </c>
      <c r="K78" s="369">
        <f t="shared" si="8"/>
        <v>9.2565916689693994E-2</v>
      </c>
      <c r="L78" s="369">
        <f t="shared" si="8"/>
        <v>9.7084309123774457E-2</v>
      </c>
      <c r="M78" s="369">
        <f t="shared" si="8"/>
        <v>7.8418666992491004E-2</v>
      </c>
      <c r="N78" s="369">
        <f t="shared" si="8"/>
        <v>-0.9982976052695326</v>
      </c>
    </row>
    <row r="79" spans="2:20" ht="18.75" x14ac:dyDescent="0.3">
      <c r="B79" s="84" t="s">
        <v>27</v>
      </c>
      <c r="C79" s="85"/>
      <c r="D79" s="80"/>
      <c r="E79" s="368">
        <f>(C$75+C$76+D$75+D$76+E$75+E$76)/(C$77+D$77+E$77)</f>
        <v>0.15262131516550764</v>
      </c>
      <c r="F79" s="80"/>
      <c r="G79" s="80"/>
      <c r="H79" s="368">
        <f>(F75+F76+G75+G76+H75+H76)/(F77+G77+H77)</f>
        <v>0.15249844524093356</v>
      </c>
      <c r="I79" s="80"/>
      <c r="J79" s="80"/>
      <c r="K79" s="368">
        <f>(I75+J75+K75+I76+J76+K76)/(I77+J77+K77)</f>
        <v>4.2388409907353063E-2</v>
      </c>
      <c r="L79" s="80"/>
      <c r="M79" s="80"/>
      <c r="N79" s="374">
        <f>(L75+M75+N75+L76+M76+N76)/(L77+M77+N77)</f>
        <v>-5.4924025001278902E-2</v>
      </c>
    </row>
    <row r="80" spans="2:20" x14ac:dyDescent="0.25">
      <c r="B80" s="27" t="s">
        <v>20</v>
      </c>
      <c r="C80" s="18"/>
      <c r="D80" s="18"/>
      <c r="E80" s="369">
        <v>0.21</v>
      </c>
      <c r="F80" s="18"/>
      <c r="G80" s="18"/>
      <c r="H80" s="369">
        <v>0.21</v>
      </c>
      <c r="I80" s="18"/>
      <c r="J80" s="18"/>
      <c r="K80" s="369">
        <v>0.21</v>
      </c>
      <c r="L80" s="18"/>
      <c r="M80" s="18"/>
      <c r="N80" s="369">
        <v>0.21</v>
      </c>
    </row>
    <row r="81" spans="2:23" x14ac:dyDescent="0.25">
      <c r="B81" s="28" t="s">
        <v>17</v>
      </c>
      <c r="C81" s="19"/>
      <c r="D81" s="19"/>
      <c r="E81" s="9">
        <f>E80-E79</f>
        <v>5.7378684834492349E-2</v>
      </c>
      <c r="F81" s="19"/>
      <c r="G81" s="19"/>
      <c r="H81" s="9">
        <f>H80-H79</f>
        <v>5.7501554759066431E-2</v>
      </c>
      <c r="I81" s="19"/>
      <c r="J81" s="19"/>
      <c r="K81" s="9">
        <f>K80-K79</f>
        <v>0.16761159009264692</v>
      </c>
      <c r="L81" s="19"/>
      <c r="M81" s="19"/>
      <c r="N81" s="19">
        <f>N80-N79</f>
        <v>0.26492402500127887</v>
      </c>
    </row>
    <row r="85" spans="2:23" ht="15.75" thickBot="1" x14ac:dyDescent="0.3"/>
    <row r="86" spans="2:23" ht="27.75" thickTop="1" thickBot="1" x14ac:dyDescent="0.45">
      <c r="C86" s="1658" t="s">
        <v>398</v>
      </c>
      <c r="D86" s="1659"/>
      <c r="E86" s="1659"/>
      <c r="F86" s="1659"/>
      <c r="G86" s="1659"/>
      <c r="H86" s="1659"/>
      <c r="I86" s="1659"/>
      <c r="J86" s="1659"/>
      <c r="K86" s="1659"/>
      <c r="L86" s="1659"/>
      <c r="M86" s="1660"/>
      <c r="Q86" s="1665" t="s">
        <v>398</v>
      </c>
      <c r="R86" s="1665"/>
      <c r="S86" s="1665"/>
      <c r="T86" s="1665"/>
      <c r="U86" s="1665"/>
      <c r="V86" s="1665"/>
      <c r="W86" s="1665"/>
    </row>
    <row r="87" spans="2:23" ht="15.75" thickTop="1" x14ac:dyDescent="0.25"/>
    <row r="88" spans="2:23" ht="15.75" thickBot="1" x14ac:dyDescent="0.3">
      <c r="B88" s="20" t="s">
        <v>821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4" t="s">
        <v>399</v>
      </c>
      <c r="C89" s="537">
        <f>DATOS!D$9</f>
        <v>0</v>
      </c>
      <c r="D89" s="537">
        <f>DATOS!F$9</f>
        <v>1</v>
      </c>
      <c r="E89" s="537">
        <f>DATOS!H$9</f>
        <v>1</v>
      </c>
      <c r="F89" s="537">
        <f>DATOS!J$9</f>
        <v>0</v>
      </c>
      <c r="G89" s="537">
        <f>DATOS!L$9</f>
        <v>1</v>
      </c>
      <c r="H89" s="537">
        <f>DATOS!N$9</f>
        <v>0</v>
      </c>
      <c r="I89" s="537">
        <f>DATOS!P$9</f>
        <v>1</v>
      </c>
      <c r="J89" s="537">
        <f>DATOS!R$9</f>
        <v>1</v>
      </c>
      <c r="K89" s="537">
        <f>DATOS!T$9</f>
        <v>1</v>
      </c>
      <c r="L89" s="537">
        <f>DATOS!V$9</f>
        <v>1</v>
      </c>
      <c r="M89" s="537">
        <f>DATOS!X$9</f>
        <v>1</v>
      </c>
      <c r="N89" s="537">
        <f>DATOS!Z$9</f>
        <v>0</v>
      </c>
    </row>
    <row r="90" spans="2:23" x14ac:dyDescent="0.25">
      <c r="B90" s="534" t="s">
        <v>400</v>
      </c>
      <c r="C90" s="537">
        <f>DATOS!D$10</f>
        <v>1</v>
      </c>
      <c r="D90" s="537">
        <f>DATOS!F$10</f>
        <v>1</v>
      </c>
      <c r="E90" s="537">
        <f>DATOS!H$10</f>
        <v>1</v>
      </c>
      <c r="F90" s="537">
        <f>DATOS!J$10</f>
        <v>2</v>
      </c>
      <c r="G90" s="537">
        <f>DATOS!L$10</f>
        <v>1</v>
      </c>
      <c r="H90" s="537">
        <f>DATOS!N$10</f>
        <v>1</v>
      </c>
      <c r="I90" s="537">
        <f>DATOS!P$10</f>
        <v>1</v>
      </c>
      <c r="J90" s="537">
        <f>DATOS!R$10</f>
        <v>2</v>
      </c>
      <c r="K90" s="537">
        <f>DATOS!T$10</f>
        <v>1</v>
      </c>
      <c r="L90" s="537">
        <f>DATOS!V$10</f>
        <v>1</v>
      </c>
      <c r="M90" s="537">
        <f>DATOS!X$10</f>
        <v>1</v>
      </c>
      <c r="N90" s="537">
        <f>DATOS!Z$10</f>
        <v>0</v>
      </c>
    </row>
    <row r="91" spans="2:23" ht="18.75" x14ac:dyDescent="0.3">
      <c r="B91" s="77" t="s">
        <v>27</v>
      </c>
      <c r="C91" s="532">
        <f>(C90+C89)/2</f>
        <v>0.5</v>
      </c>
      <c r="D91" s="532">
        <f t="shared" ref="D91:N91" si="9">(D90+D89)/2</f>
        <v>1</v>
      </c>
      <c r="E91" s="532">
        <f t="shared" si="9"/>
        <v>1</v>
      </c>
      <c r="F91" s="532">
        <f t="shared" si="9"/>
        <v>1</v>
      </c>
      <c r="G91" s="532">
        <f t="shared" si="9"/>
        <v>1</v>
      </c>
      <c r="H91" s="532">
        <f t="shared" si="9"/>
        <v>0.5</v>
      </c>
      <c r="I91" s="532">
        <f t="shared" si="9"/>
        <v>1</v>
      </c>
      <c r="J91" s="532">
        <f t="shared" si="9"/>
        <v>1.5</v>
      </c>
      <c r="K91" s="532">
        <f t="shared" si="9"/>
        <v>1</v>
      </c>
      <c r="L91" s="532">
        <f t="shared" si="9"/>
        <v>1</v>
      </c>
      <c r="M91" s="532">
        <f t="shared" si="9"/>
        <v>1</v>
      </c>
      <c r="N91" s="532">
        <f t="shared" si="9"/>
        <v>0</v>
      </c>
    </row>
    <row r="92" spans="2:23" x14ac:dyDescent="0.25">
      <c r="B92" s="1" t="s">
        <v>401</v>
      </c>
      <c r="C92" s="531">
        <v>2</v>
      </c>
      <c r="D92" s="531">
        <v>2</v>
      </c>
      <c r="E92" s="531">
        <v>2</v>
      </c>
      <c r="F92" s="531">
        <v>2</v>
      </c>
      <c r="G92" s="531">
        <v>2</v>
      </c>
      <c r="H92" s="531">
        <v>2</v>
      </c>
      <c r="I92" s="531">
        <v>2</v>
      </c>
      <c r="J92" s="531">
        <v>2</v>
      </c>
      <c r="K92" s="531">
        <v>2</v>
      </c>
      <c r="L92" s="531">
        <v>2</v>
      </c>
      <c r="M92" s="531">
        <v>2</v>
      </c>
      <c r="N92" s="531">
        <v>2</v>
      </c>
    </row>
    <row r="93" spans="2:23" x14ac:dyDescent="0.25">
      <c r="B93" s="8" t="s">
        <v>402</v>
      </c>
      <c r="C93" s="533">
        <f t="shared" ref="C93:N93" si="10">C$92-C$89</f>
        <v>2</v>
      </c>
      <c r="D93" s="533">
        <f t="shared" si="10"/>
        <v>1</v>
      </c>
      <c r="E93" s="533">
        <f t="shared" si="10"/>
        <v>1</v>
      </c>
      <c r="F93" s="533">
        <f t="shared" si="10"/>
        <v>2</v>
      </c>
      <c r="G93" s="533">
        <f t="shared" si="10"/>
        <v>1</v>
      </c>
      <c r="H93" s="533">
        <f t="shared" si="10"/>
        <v>2</v>
      </c>
      <c r="I93" s="533">
        <f t="shared" si="10"/>
        <v>1</v>
      </c>
      <c r="J93" s="533">
        <f t="shared" si="10"/>
        <v>1</v>
      </c>
      <c r="K93" s="533">
        <f t="shared" si="10"/>
        <v>1</v>
      </c>
      <c r="L93" s="533">
        <f t="shared" si="10"/>
        <v>1</v>
      </c>
      <c r="M93" s="533">
        <f t="shared" si="10"/>
        <v>1</v>
      </c>
      <c r="N93" s="533">
        <f t="shared" si="10"/>
        <v>2</v>
      </c>
    </row>
    <row r="94" spans="2:23" x14ac:dyDescent="0.25">
      <c r="B94" s="535" t="s">
        <v>403</v>
      </c>
      <c r="C94" s="536">
        <f t="shared" ref="C94:N94" si="11">C$92-C$90</f>
        <v>1</v>
      </c>
      <c r="D94" s="536">
        <f t="shared" si="11"/>
        <v>1</v>
      </c>
      <c r="E94" s="536">
        <f t="shared" si="11"/>
        <v>1</v>
      </c>
      <c r="F94" s="536">
        <f t="shared" si="11"/>
        <v>0</v>
      </c>
      <c r="G94" s="536">
        <f t="shared" si="11"/>
        <v>1</v>
      </c>
      <c r="H94" s="536">
        <f t="shared" si="11"/>
        <v>1</v>
      </c>
      <c r="I94" s="536">
        <f t="shared" si="11"/>
        <v>1</v>
      </c>
      <c r="J94" s="536">
        <f t="shared" si="11"/>
        <v>0</v>
      </c>
      <c r="K94" s="536">
        <f t="shared" si="11"/>
        <v>1</v>
      </c>
      <c r="L94" s="536">
        <f t="shared" si="11"/>
        <v>1</v>
      </c>
      <c r="M94" s="536">
        <f t="shared" si="11"/>
        <v>1</v>
      </c>
      <c r="N94" s="536">
        <f t="shared" si="11"/>
        <v>2</v>
      </c>
    </row>
  </sheetData>
  <mergeCells count="21">
    <mergeCell ref="C86:M86"/>
    <mergeCell ref="Q86:W86"/>
    <mergeCell ref="C58:M58"/>
    <mergeCell ref="Q58:T58"/>
    <mergeCell ref="C65:M65"/>
    <mergeCell ref="Q66:T66"/>
    <mergeCell ref="E72:I72"/>
    <mergeCell ref="Q75:T75"/>
    <mergeCell ref="AI1:AO1"/>
    <mergeCell ref="E4:I4"/>
    <mergeCell ref="R17:S17"/>
    <mergeCell ref="E51:I51"/>
    <mergeCell ref="R51:S51"/>
    <mergeCell ref="R1:S1"/>
    <mergeCell ref="W1:Z1"/>
    <mergeCell ref="AC1:AF1"/>
    <mergeCell ref="E23:I23"/>
    <mergeCell ref="R28:S28"/>
    <mergeCell ref="E32:I32"/>
    <mergeCell ref="Q41:T41"/>
    <mergeCell ref="E42:J42"/>
  </mergeCells>
  <pageMargins left="0.7" right="0.7" top="0.75" bottom="0.75" header="0.3" footer="0.3"/>
  <ignoredErrors>
    <ignoredError sqref="C89:E94 C69:E70 C62:E63" calculatedColumn="1"/>
    <ignoredError sqref="I78:N81 H78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30721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30721" r:id="rId3"/>
      </mc:Fallback>
    </mc:AlternateContent>
  </oleObjects>
  <tableParts count="9"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92D050"/>
  </sheetPr>
  <dimension ref="B1:X129"/>
  <sheetViews>
    <sheetView topLeftCell="A106" zoomScale="80" zoomScaleNormal="80" workbookViewId="0">
      <selection activeCell="B124" sqref="B124:N129"/>
    </sheetView>
  </sheetViews>
  <sheetFormatPr baseColWidth="10" defaultRowHeight="15" x14ac:dyDescent="0.25"/>
  <cols>
    <col min="1" max="1" width="8.140625" customWidth="1"/>
    <col min="2" max="2" width="41.5703125" customWidth="1"/>
    <col min="3" max="13" width="11.7109375" customWidth="1"/>
    <col min="14" max="14" width="15.42578125" bestFit="1" customWidth="1"/>
  </cols>
  <sheetData>
    <row r="1" spans="2:22" ht="15" customHeight="1" x14ac:dyDescent="0.25">
      <c r="R1" s="1654" t="s">
        <v>55</v>
      </c>
      <c r="S1" s="1654"/>
      <c r="T1" s="1669"/>
      <c r="U1" s="1669"/>
    </row>
    <row r="2" spans="2:22" ht="15" customHeight="1" x14ac:dyDescent="0.25"/>
    <row r="3" spans="2:22" ht="15" customHeight="1" thickBot="1" x14ac:dyDescent="0.3"/>
    <row r="4" spans="2:22" ht="15" customHeight="1" thickTop="1" thickBot="1" x14ac:dyDescent="0.3">
      <c r="E4" s="1676" t="s">
        <v>59</v>
      </c>
      <c r="F4" s="1677"/>
      <c r="G4" s="1677"/>
      <c r="H4" s="1677"/>
      <c r="I4" s="1678"/>
    </row>
    <row r="5" spans="2:22" ht="15" customHeight="1" thickTop="1" x14ac:dyDescent="0.25"/>
    <row r="6" spans="2:22" ht="15" customHeight="1" thickBot="1" x14ac:dyDescent="0.3">
      <c r="B6" s="500" t="s">
        <v>1085</v>
      </c>
      <c r="C6" s="502" t="s">
        <v>0</v>
      </c>
      <c r="D6" s="502" t="s">
        <v>1</v>
      </c>
      <c r="E6" s="502" t="s">
        <v>2</v>
      </c>
      <c r="F6" s="502" t="s">
        <v>3</v>
      </c>
      <c r="G6" s="502" t="s">
        <v>4</v>
      </c>
      <c r="H6" s="502" t="s">
        <v>5</v>
      </c>
      <c r="I6" s="502" t="s">
        <v>6</v>
      </c>
      <c r="J6" s="502" t="s">
        <v>7</v>
      </c>
      <c r="K6" s="502" t="s">
        <v>8</v>
      </c>
      <c r="L6" s="502" t="s">
        <v>9</v>
      </c>
      <c r="M6" s="502" t="s">
        <v>10</v>
      </c>
      <c r="N6" s="503" t="s">
        <v>11</v>
      </c>
    </row>
    <row r="7" spans="2:22" ht="15" customHeight="1" x14ac:dyDescent="0.25">
      <c r="B7" s="75" t="s">
        <v>38</v>
      </c>
      <c r="C7" s="696">
        <f>DATOS!C$3</f>
        <v>238460.23</v>
      </c>
      <c r="D7" s="696">
        <f>DATOS!E$3</f>
        <v>215170.18</v>
      </c>
      <c r="E7" s="696">
        <f>DATOS!G$3</f>
        <v>249933.64</v>
      </c>
      <c r="F7" s="696">
        <f>DATOS!I$3</f>
        <v>213930.04</v>
      </c>
      <c r="G7" s="696">
        <f>DATOS!K$3</f>
        <v>249029.69</v>
      </c>
      <c r="H7" s="696">
        <f>DATOS!M$3</f>
        <v>300128.49</v>
      </c>
      <c r="I7" s="696">
        <f>DATOS!O$3</f>
        <v>329301.73</v>
      </c>
      <c r="J7" s="696">
        <f>DATOS!Q$3</f>
        <v>60396.19</v>
      </c>
      <c r="K7" s="696">
        <f>DATOS!S$3</f>
        <v>285699.76</v>
      </c>
      <c r="L7" s="696">
        <f>DATOS!U$3</f>
        <v>273689.55</v>
      </c>
      <c r="M7" s="696">
        <f>DATOS!W$3</f>
        <v>249051.41</v>
      </c>
      <c r="N7" s="696">
        <f>DATOS!Y$3</f>
        <v>113243.67</v>
      </c>
    </row>
    <row r="8" spans="2:22" ht="15" customHeight="1" x14ac:dyDescent="0.25">
      <c r="B8" s="1" t="s">
        <v>56</v>
      </c>
      <c r="C8" s="496">
        <f>DATOS!C$22</f>
        <v>20</v>
      </c>
      <c r="D8" s="496">
        <f>DATOS!E$22</f>
        <v>20</v>
      </c>
      <c r="E8" s="496">
        <f>DATOS!G$22</f>
        <v>22</v>
      </c>
      <c r="F8" s="496">
        <f>DATOS!I$22</f>
        <v>20</v>
      </c>
      <c r="G8" s="496">
        <f>DATOS!K$22</f>
        <v>20</v>
      </c>
      <c r="H8" s="496">
        <f>DATOS!M$22</f>
        <v>22</v>
      </c>
      <c r="I8" s="496">
        <f>DATOS!O$22</f>
        <v>23</v>
      </c>
      <c r="J8" s="496">
        <f>DATOS!Q$22</f>
        <v>19</v>
      </c>
      <c r="K8" s="496">
        <f>DATOS!S$22</f>
        <v>22</v>
      </c>
      <c r="L8" s="496">
        <f>DATOS!U$22</f>
        <v>21</v>
      </c>
      <c r="M8" s="496">
        <f>DATOS!W$22</f>
        <v>20</v>
      </c>
      <c r="N8" s="496">
        <f>DATOS!Y$22</f>
        <v>21</v>
      </c>
    </row>
    <row r="9" spans="2:22" ht="15" customHeight="1" x14ac:dyDescent="0.25">
      <c r="B9" s="1" t="s">
        <v>57</v>
      </c>
      <c r="C9" s="497">
        <f>DATOS!C$23</f>
        <v>22.5</v>
      </c>
      <c r="D9" s="497">
        <f>DATOS!E$23</f>
        <v>22.5</v>
      </c>
      <c r="E9" s="497">
        <f>DATOS!G$23</f>
        <v>22.05</v>
      </c>
      <c r="F9" s="497">
        <f>DATOS!I$23</f>
        <v>20.5</v>
      </c>
      <c r="G9" s="497">
        <f>DATOS!K$23</f>
        <v>21.13</v>
      </c>
      <c r="H9" s="497">
        <f>DATOS!M$23</f>
        <v>23.363</v>
      </c>
      <c r="I9" s="497">
        <f>DATOS!O$23</f>
        <v>26.580000000000005</v>
      </c>
      <c r="J9" s="497">
        <f>DATOS!Q$23</f>
        <v>26</v>
      </c>
      <c r="K9" s="497">
        <f>DATOS!S$23</f>
        <v>27</v>
      </c>
      <c r="L9" s="497">
        <f>DATOS!U$23</f>
        <v>26.72</v>
      </c>
      <c r="M9" s="497">
        <f>DATOS!W$23</f>
        <v>26.15</v>
      </c>
      <c r="N9" s="497">
        <f>DATOS!Y$23</f>
        <v>25.380000000000003</v>
      </c>
    </row>
    <row r="10" spans="2:22" ht="15" customHeight="1" x14ac:dyDescent="0.3">
      <c r="B10" s="77" t="s">
        <v>27</v>
      </c>
      <c r="C10" s="498">
        <f>(C$7/C$8)/C$9</f>
        <v>529.91162222222226</v>
      </c>
      <c r="D10" s="498">
        <f t="shared" ref="D10:N10" si="0">(D$7/D$8)/D$9</f>
        <v>478.15595555555558</v>
      </c>
      <c r="E10" s="498">
        <f t="shared" si="0"/>
        <v>515.22086167800455</v>
      </c>
      <c r="F10" s="498">
        <f t="shared" si="0"/>
        <v>521.78058536585365</v>
      </c>
      <c r="G10" s="498">
        <f t="shared" si="0"/>
        <v>589.27991008045433</v>
      </c>
      <c r="H10" s="498">
        <f t="shared" si="0"/>
        <v>583.92347262376791</v>
      </c>
      <c r="I10" s="498">
        <f t="shared" si="0"/>
        <v>538.65562534759692</v>
      </c>
      <c r="J10" s="498">
        <f t="shared" si="0"/>
        <v>122.2594939271255</v>
      </c>
      <c r="K10" s="498">
        <f t="shared" si="0"/>
        <v>480.97602693602698</v>
      </c>
      <c r="L10" s="498">
        <f t="shared" si="0"/>
        <v>487.75582763045333</v>
      </c>
      <c r="M10" s="498">
        <f t="shared" si="0"/>
        <v>476.197724665392</v>
      </c>
      <c r="N10" s="498">
        <f t="shared" si="0"/>
        <v>212.47264437689967</v>
      </c>
    </row>
    <row r="11" spans="2:22" ht="15" customHeight="1" x14ac:dyDescent="0.25">
      <c r="B11" s="1" t="s">
        <v>20</v>
      </c>
      <c r="C11" s="497">
        <v>360</v>
      </c>
      <c r="D11" s="497">
        <v>360</v>
      </c>
      <c r="E11" s="497">
        <v>360</v>
      </c>
      <c r="F11" s="497">
        <v>360</v>
      </c>
      <c r="G11" s="497">
        <v>360</v>
      </c>
      <c r="H11" s="497">
        <v>360</v>
      </c>
      <c r="I11" s="497">
        <v>360</v>
      </c>
      <c r="J11" s="497">
        <v>360</v>
      </c>
      <c r="K11" s="497">
        <v>360</v>
      </c>
      <c r="L11" s="497">
        <v>360</v>
      </c>
      <c r="M11" s="497">
        <v>360</v>
      </c>
      <c r="N11" s="497">
        <v>360</v>
      </c>
    </row>
    <row r="12" spans="2:22" ht="15" customHeight="1" x14ac:dyDescent="0.25">
      <c r="B12" s="8" t="s">
        <v>17</v>
      </c>
      <c r="C12" s="499">
        <f>C10-C11</f>
        <v>169.91162222222226</v>
      </c>
      <c r="D12" s="499">
        <f t="shared" ref="D12:N12" si="1">D10-D11</f>
        <v>118.15595555555558</v>
      </c>
      <c r="E12" s="499">
        <f t="shared" si="1"/>
        <v>155.22086167800455</v>
      </c>
      <c r="F12" s="499">
        <f t="shared" si="1"/>
        <v>161.78058536585365</v>
      </c>
      <c r="G12" s="499">
        <f t="shared" si="1"/>
        <v>229.27991008045433</v>
      </c>
      <c r="H12" s="499">
        <f t="shared" si="1"/>
        <v>223.92347262376791</v>
      </c>
      <c r="I12" s="499">
        <f t="shared" si="1"/>
        <v>178.65562534759692</v>
      </c>
      <c r="J12" s="499">
        <f t="shared" si="1"/>
        <v>-237.7405060728745</v>
      </c>
      <c r="K12" s="499">
        <f t="shared" si="1"/>
        <v>120.97602693602698</v>
      </c>
      <c r="L12" s="499">
        <f t="shared" si="1"/>
        <v>127.75582763045333</v>
      </c>
      <c r="M12" s="499">
        <f t="shared" si="1"/>
        <v>116.197724665392</v>
      </c>
      <c r="N12" s="499">
        <f t="shared" si="1"/>
        <v>-147.52735562310033</v>
      </c>
    </row>
    <row r="13" spans="2:22" ht="15" customHeight="1" thickBot="1" x14ac:dyDescent="0.3">
      <c r="Q13" s="1654" t="s">
        <v>58</v>
      </c>
      <c r="R13" s="1654"/>
      <c r="S13" s="1654"/>
      <c r="T13" s="1654"/>
      <c r="U13" s="1654"/>
      <c r="V13" s="1669"/>
    </row>
    <row r="14" spans="2:22" ht="15" customHeight="1" thickTop="1" thickBot="1" x14ac:dyDescent="0.45">
      <c r="C14" s="38"/>
      <c r="D14" s="50"/>
      <c r="E14" s="1676" t="s">
        <v>58</v>
      </c>
      <c r="F14" s="1677"/>
      <c r="G14" s="1677"/>
      <c r="H14" s="1677"/>
      <c r="I14" s="1677"/>
      <c r="J14" s="1677"/>
      <c r="K14" s="1678"/>
      <c r="L14" s="50"/>
      <c r="M14" s="50"/>
    </row>
    <row r="15" spans="2:22" ht="15" customHeight="1" thickTop="1" x14ac:dyDescent="0.25"/>
    <row r="16" spans="2:22" ht="15" customHeight="1" thickBot="1" x14ac:dyDescent="0.3">
      <c r="B16" s="501" t="s">
        <v>1086</v>
      </c>
      <c r="C16" s="504" t="s">
        <v>0</v>
      </c>
      <c r="D16" s="504" t="s">
        <v>1</v>
      </c>
      <c r="E16" s="504" t="s">
        <v>2</v>
      </c>
      <c r="F16" s="504" t="s">
        <v>3</v>
      </c>
      <c r="G16" s="504" t="s">
        <v>4</v>
      </c>
      <c r="H16" s="504" t="s">
        <v>5</v>
      </c>
      <c r="I16" s="504" t="s">
        <v>6</v>
      </c>
      <c r="J16" s="504" t="s">
        <v>7</v>
      </c>
      <c r="K16" s="504" t="s">
        <v>8</v>
      </c>
      <c r="L16" s="504" t="s">
        <v>9</v>
      </c>
      <c r="M16" s="504" t="s">
        <v>10</v>
      </c>
      <c r="N16" s="505" t="s">
        <v>11</v>
      </c>
    </row>
    <row r="17" spans="2:24" ht="15" customHeight="1" x14ac:dyDescent="0.25">
      <c r="B17" s="73" t="s">
        <v>60</v>
      </c>
      <c r="C17" s="688">
        <f>DATOS!C16</f>
        <v>8281.24</v>
      </c>
      <c r="D17" s="688">
        <f>DATOS!E16</f>
        <v>22217.47</v>
      </c>
      <c r="E17" s="688">
        <f>DATOS!G16</f>
        <v>3278.62</v>
      </c>
      <c r="F17" s="688">
        <f>DATOS!I16</f>
        <v>21275.08</v>
      </c>
      <c r="G17" s="688">
        <f>DATOS!K16</f>
        <v>20017.75</v>
      </c>
      <c r="H17" s="688">
        <f>DATOS!M16</f>
        <v>13641.32</v>
      </c>
      <c r="I17" s="688">
        <f>DATOS!O16</f>
        <v>20091.28</v>
      </c>
      <c r="J17" s="688">
        <f>DATOS!Q16</f>
        <v>5012.5600000000004</v>
      </c>
      <c r="K17" s="688">
        <f>DATOS!S16</f>
        <v>12499.02</v>
      </c>
      <c r="L17" s="688">
        <f>DATOS!U16</f>
        <v>6053.65</v>
      </c>
      <c r="M17" s="688">
        <f>DATOS!W16</f>
        <v>10161.459999999999</v>
      </c>
      <c r="N17" s="688">
        <f>DATOS!Y16</f>
        <v>5364.2</v>
      </c>
      <c r="P17" s="25"/>
      <c r="Q17" s="25"/>
      <c r="R17" s="25"/>
      <c r="S17" s="25"/>
      <c r="T17" s="25"/>
      <c r="U17" s="25"/>
    </row>
    <row r="18" spans="2:24" ht="15" customHeight="1" x14ac:dyDescent="0.25">
      <c r="B18" s="71" t="s">
        <v>61</v>
      </c>
      <c r="C18" s="688">
        <f>DATOS!C$12</f>
        <v>50315.11</v>
      </c>
      <c r="D18" s="688">
        <f>DATOS!E$12</f>
        <v>45400.91</v>
      </c>
      <c r="E18" s="688">
        <f>DATOS!G$12</f>
        <v>46699.73</v>
      </c>
      <c r="F18" s="688">
        <f>DATOS!I$12</f>
        <v>45909.24</v>
      </c>
      <c r="G18" s="688">
        <f>DATOS!K$12</f>
        <v>53397.91</v>
      </c>
      <c r="H18" s="688">
        <f>DATOS!M$12</f>
        <v>59690.32</v>
      </c>
      <c r="I18" s="688">
        <f>DATOS!O$12</f>
        <v>81644.399999999994</v>
      </c>
      <c r="J18" s="688">
        <f>DATOS!Q$12</f>
        <v>26198.1</v>
      </c>
      <c r="K18" s="688">
        <f>DATOS!S$12</f>
        <v>55140.66</v>
      </c>
      <c r="L18" s="688">
        <f>DATOS!U$12</f>
        <v>50351.5</v>
      </c>
      <c r="M18" s="688">
        <f>DATOS!W$12</f>
        <v>46507.53</v>
      </c>
      <c r="N18" s="688">
        <f>DATOS!Y$12</f>
        <v>69678</v>
      </c>
      <c r="P18" s="25"/>
      <c r="Q18" s="1654"/>
      <c r="R18" s="1654"/>
      <c r="S18" s="1654"/>
      <c r="T18" s="1654"/>
      <c r="U18" s="1654"/>
      <c r="V18" s="1669"/>
    </row>
    <row r="19" spans="2:24" ht="15" customHeight="1" x14ac:dyDescent="0.25">
      <c r="B19" t="s">
        <v>62</v>
      </c>
      <c r="C19" s="689">
        <f>DATOS!C$6</f>
        <v>64148.639999999999</v>
      </c>
      <c r="D19" s="689">
        <f>DATOS!E$6</f>
        <v>74637.47</v>
      </c>
      <c r="E19" s="689">
        <f>DATOS!G$6</f>
        <v>68861.58</v>
      </c>
      <c r="F19" s="689">
        <f>DATOS!I$6</f>
        <v>66085.09</v>
      </c>
      <c r="G19" s="689">
        <f>DATOS!K$6</f>
        <v>64547.59</v>
      </c>
      <c r="H19" s="689">
        <f>DATOS!M$6</f>
        <v>62531.09</v>
      </c>
      <c r="I19" s="689">
        <f>DATOS!O$6</f>
        <v>63948.82</v>
      </c>
      <c r="J19" s="689">
        <f>DATOS!Q$6</f>
        <v>59654.49</v>
      </c>
      <c r="K19" s="689">
        <f>DATOS!S$6</f>
        <v>63875.39</v>
      </c>
      <c r="L19" s="689">
        <f>DATOS!U$6</f>
        <v>60314.86</v>
      </c>
      <c r="M19" s="689">
        <f>DATOS!W$6</f>
        <v>62043.18</v>
      </c>
      <c r="N19" s="689">
        <f>DATOS!Y$6</f>
        <v>65602.17</v>
      </c>
    </row>
    <row r="20" spans="2:24" ht="15" customHeight="1" x14ac:dyDescent="0.25">
      <c r="B20" s="76" t="s">
        <v>63</v>
      </c>
      <c r="C20" s="690">
        <f>DATOS!C$3</f>
        <v>238460.23</v>
      </c>
      <c r="D20" s="690">
        <f>DATOS!E$3</f>
        <v>215170.18</v>
      </c>
      <c r="E20" s="690">
        <f>DATOS!G$3</f>
        <v>249933.64</v>
      </c>
      <c r="F20" s="690">
        <f>DATOS!I$3</f>
        <v>213930.04</v>
      </c>
      <c r="G20" s="690">
        <f>DATOS!K$3</f>
        <v>249029.69</v>
      </c>
      <c r="H20" s="690">
        <f>DATOS!M$3</f>
        <v>300128.49</v>
      </c>
      <c r="I20" s="690">
        <f>DATOS!O$3</f>
        <v>329301.73</v>
      </c>
      <c r="J20" s="690">
        <f>DATOS!Q$3</f>
        <v>60396.19</v>
      </c>
      <c r="K20" s="690">
        <f>DATOS!S$3</f>
        <v>285699.76</v>
      </c>
      <c r="L20" s="690">
        <f>DATOS!U$3</f>
        <v>273689.55</v>
      </c>
      <c r="M20" s="690">
        <f>DATOS!W$3</f>
        <v>249051.41</v>
      </c>
      <c r="N20" s="690">
        <f>DATOS!Y$3</f>
        <v>113243.67</v>
      </c>
    </row>
    <row r="21" spans="2:24" ht="15" customHeight="1" x14ac:dyDescent="0.3">
      <c r="B21" s="77" t="s">
        <v>27</v>
      </c>
      <c r="C21" s="691"/>
      <c r="D21" s="691"/>
      <c r="E21" s="691">
        <f>(C17+D17+E17+C18+D18+E18+C19+D19+E19)/(C20+D20+E20)</f>
        <v>0.54556620680093026</v>
      </c>
      <c r="F21" s="691"/>
      <c r="G21" s="691"/>
      <c r="H21" s="691">
        <f>(F17+G17+H17+F18+G18+H18+F19+G19+H19)/(F20+G20+H20)</f>
        <v>0.53348404461020238</v>
      </c>
      <c r="I21" s="691"/>
      <c r="J21" s="691"/>
      <c r="K21" s="691">
        <f>(I17+J17+K17+I18+J18+K18+I19+J19+K19)/(I20+J20+K20)</f>
        <v>0.57457218390208276</v>
      </c>
      <c r="L21" s="691"/>
      <c r="M21" s="691"/>
      <c r="N21" s="691">
        <f>(L17+M17+N17+L18+M18+N18+L19+M19+N19)/(L20+M20+N20)</f>
        <v>0.59132962065451167</v>
      </c>
      <c r="R21" s="1654"/>
      <c r="S21" s="1654"/>
    </row>
    <row r="22" spans="2:24" ht="15" customHeight="1" x14ac:dyDescent="0.25">
      <c r="B22" s="1" t="s">
        <v>20</v>
      </c>
      <c r="C22" s="692"/>
      <c r="D22" s="692"/>
      <c r="E22" s="692">
        <v>0.55000000000000004</v>
      </c>
      <c r="F22" s="692"/>
      <c r="G22" s="692"/>
      <c r="H22" s="692">
        <v>0.55000000000000004</v>
      </c>
      <c r="I22" s="692"/>
      <c r="J22" s="692"/>
      <c r="K22" s="692">
        <v>0.6</v>
      </c>
      <c r="L22" s="692"/>
      <c r="M22" s="692"/>
      <c r="N22" s="692">
        <v>0.6</v>
      </c>
    </row>
    <row r="23" spans="2:24" ht="15" customHeight="1" x14ac:dyDescent="0.25">
      <c r="B23" s="8" t="s">
        <v>17</v>
      </c>
      <c r="C23" s="693"/>
      <c r="D23" s="693"/>
      <c r="E23" s="693">
        <f t="shared" ref="E23:N23" si="2">E22-E21</f>
        <v>4.4337931990697799E-3</v>
      </c>
      <c r="F23" s="693"/>
      <c r="G23" s="693"/>
      <c r="H23" s="693">
        <f t="shared" si="2"/>
        <v>1.6515955389797665E-2</v>
      </c>
      <c r="I23" s="693"/>
      <c r="J23" s="693"/>
      <c r="K23" s="693">
        <f t="shared" si="2"/>
        <v>2.5427816097917222E-2</v>
      </c>
      <c r="L23" s="693"/>
      <c r="M23" s="693"/>
      <c r="N23" s="693">
        <f t="shared" si="2"/>
        <v>8.6703793454883105E-3</v>
      </c>
    </row>
    <row r="24" spans="2:24" ht="15" customHeight="1" x14ac:dyDescent="0.25"/>
    <row r="25" spans="2:24" ht="15" customHeight="1" x14ac:dyDescent="0.25">
      <c r="E25" s="1442"/>
      <c r="Q25" s="1665" t="s">
        <v>1116</v>
      </c>
      <c r="R25" s="1665"/>
      <c r="S25" s="1665"/>
      <c r="T25" s="1665"/>
      <c r="U25" s="1665"/>
      <c r="V25" s="1665"/>
      <c r="W25" s="1665"/>
      <c r="X25" s="1665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8"/>
      <c r="F28" s="488"/>
      <c r="G28" s="488"/>
      <c r="H28" s="488"/>
      <c r="I28" s="488"/>
    </row>
    <row r="29" spans="2:24" ht="15" customHeight="1" thickTop="1" thickBot="1" x14ac:dyDescent="0.3">
      <c r="E29" s="1676" t="s">
        <v>1115</v>
      </c>
      <c r="F29" s="1677"/>
      <c r="G29" s="1677"/>
      <c r="H29" s="1677"/>
      <c r="I29" s="1677"/>
      <c r="J29" s="1677"/>
      <c r="K29" s="1677"/>
      <c r="L29" s="1677"/>
      <c r="M29" s="1678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4" t="s">
        <v>1115</v>
      </c>
      <c r="C32" s="506" t="s">
        <v>0</v>
      </c>
      <c r="D32" s="506" t="s">
        <v>1</v>
      </c>
      <c r="E32" s="506" t="s">
        <v>2</v>
      </c>
      <c r="F32" s="506" t="s">
        <v>3</v>
      </c>
      <c r="G32" s="506" t="s">
        <v>4</v>
      </c>
      <c r="H32" s="506" t="s">
        <v>5</v>
      </c>
      <c r="I32" s="506" t="s">
        <v>6</v>
      </c>
      <c r="J32" s="506" t="s">
        <v>7</v>
      </c>
      <c r="K32" s="506" t="s">
        <v>8</v>
      </c>
      <c r="L32" s="506" t="s">
        <v>9</v>
      </c>
      <c r="M32" s="506" t="s">
        <v>10</v>
      </c>
      <c r="N32" s="507" t="s">
        <v>11</v>
      </c>
    </row>
    <row r="33" spans="2:24" ht="15" customHeight="1" x14ac:dyDescent="0.25">
      <c r="B33" s="509" t="s">
        <v>1115</v>
      </c>
      <c r="C33" s="539">
        <v>101.38</v>
      </c>
      <c r="D33" s="539">
        <v>100.13</v>
      </c>
      <c r="E33" s="539">
        <v>100.68</v>
      </c>
      <c r="F33" s="539">
        <v>101.2</v>
      </c>
      <c r="G33" s="539">
        <v>101.37</v>
      </c>
      <c r="H33" s="539">
        <v>101</v>
      </c>
      <c r="I33" s="539">
        <v>101</v>
      </c>
      <c r="J33" s="539">
        <v>102</v>
      </c>
      <c r="K33" s="539">
        <v>100.1</v>
      </c>
      <c r="L33" s="539">
        <v>106</v>
      </c>
      <c r="M33" s="539">
        <v>103</v>
      </c>
      <c r="N33" s="539">
        <v>100.25</v>
      </c>
    </row>
    <row r="34" spans="2:24" ht="15" customHeight="1" x14ac:dyDescent="0.25">
      <c r="B34" s="508" t="s">
        <v>385</v>
      </c>
      <c r="C34" s="540">
        <v>100</v>
      </c>
      <c r="D34" s="540">
        <v>100</v>
      </c>
      <c r="E34" s="540">
        <v>100</v>
      </c>
      <c r="F34" s="540">
        <v>100</v>
      </c>
      <c r="G34" s="540">
        <v>100</v>
      </c>
      <c r="H34" s="540">
        <v>100</v>
      </c>
      <c r="I34" s="540">
        <v>100</v>
      </c>
      <c r="J34" s="540">
        <v>100</v>
      </c>
      <c r="K34" s="540">
        <v>100</v>
      </c>
      <c r="L34" s="540">
        <v>100</v>
      </c>
      <c r="M34" s="540">
        <v>100</v>
      </c>
      <c r="N34" s="540">
        <v>100</v>
      </c>
      <c r="Q34" s="1665"/>
      <c r="R34" s="1665"/>
      <c r="S34" s="1665"/>
      <c r="T34" s="1665"/>
      <c r="U34" s="1665"/>
      <c r="V34" s="1665"/>
      <c r="W34" s="1665"/>
      <c r="X34" s="1665"/>
    </row>
    <row r="35" spans="2:24" ht="15" customHeight="1" x14ac:dyDescent="0.25">
      <c r="B35" s="493" t="s">
        <v>17</v>
      </c>
      <c r="C35" s="541">
        <f>C33-C34</f>
        <v>1.3799999999999955</v>
      </c>
      <c r="D35" s="541">
        <f t="shared" ref="D35:N35" si="3">D33-D34</f>
        <v>0.12999999999999545</v>
      </c>
      <c r="E35" s="541">
        <f t="shared" si="3"/>
        <v>0.68000000000000682</v>
      </c>
      <c r="F35" s="541">
        <f t="shared" si="3"/>
        <v>1.2000000000000028</v>
      </c>
      <c r="G35" s="541">
        <f t="shared" si="3"/>
        <v>1.3700000000000045</v>
      </c>
      <c r="H35" s="541">
        <f t="shared" si="3"/>
        <v>1</v>
      </c>
      <c r="I35" s="541">
        <f t="shared" si="3"/>
        <v>1</v>
      </c>
      <c r="J35" s="541">
        <f t="shared" si="3"/>
        <v>2</v>
      </c>
      <c r="K35" s="541">
        <f t="shared" si="3"/>
        <v>9.9999999999994316E-2</v>
      </c>
      <c r="L35" s="541">
        <f t="shared" si="3"/>
        <v>6</v>
      </c>
      <c r="M35" s="541">
        <f t="shared" si="3"/>
        <v>3</v>
      </c>
      <c r="N35" s="541">
        <f t="shared" si="3"/>
        <v>0.25</v>
      </c>
      <c r="Q35" s="1654"/>
      <c r="R35" s="1654"/>
      <c r="S35" s="1654"/>
      <c r="T35" s="1654"/>
    </row>
    <row r="36" spans="2:24" ht="15" customHeight="1" x14ac:dyDescent="0.4">
      <c r="E36" s="1679"/>
      <c r="F36" s="1679"/>
      <c r="G36" s="1679"/>
      <c r="H36" s="1679"/>
      <c r="I36" s="1679"/>
      <c r="J36" s="1680"/>
    </row>
    <row r="37" spans="2:24" ht="15" customHeight="1" x14ac:dyDescent="0.4">
      <c r="E37" s="485"/>
      <c r="F37" s="485"/>
      <c r="G37" s="485"/>
      <c r="H37" s="485"/>
      <c r="I37" s="485"/>
      <c r="J37" s="486"/>
      <c r="Q37" s="1665"/>
      <c r="R37" s="1665"/>
      <c r="S37" s="1665"/>
      <c r="T37" s="1665"/>
      <c r="U37" s="1665"/>
      <c r="V37" s="1665"/>
      <c r="W37" s="1665"/>
      <c r="X37" s="1665"/>
    </row>
    <row r="38" spans="2:24" ht="15" customHeight="1" x14ac:dyDescent="0.4">
      <c r="E38" s="485"/>
      <c r="F38" s="485"/>
      <c r="G38" s="485"/>
      <c r="H38" s="485"/>
      <c r="I38" s="485"/>
      <c r="J38" s="486"/>
    </row>
    <row r="39" spans="2:24" ht="15" customHeight="1" x14ac:dyDescent="0.4">
      <c r="E39" s="485"/>
      <c r="F39" s="485"/>
      <c r="G39" s="485"/>
      <c r="H39" s="485"/>
      <c r="I39" s="485"/>
      <c r="J39" s="486"/>
    </row>
    <row r="40" spans="2:24" ht="15" customHeight="1" x14ac:dyDescent="0.25">
      <c r="R40" s="1654" t="s">
        <v>1114</v>
      </c>
      <c r="S40" s="1654"/>
      <c r="T40" s="1654"/>
      <c r="U40" s="1654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673" t="s">
        <v>1113</v>
      </c>
      <c r="F42" s="1674"/>
      <c r="G42" s="1674"/>
      <c r="H42" s="1674"/>
      <c r="I42" s="1674"/>
      <c r="J42" s="1674"/>
      <c r="K42" s="1674"/>
      <c r="L42" s="1674"/>
      <c r="M42" s="1675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25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5" t="s">
        <v>1087</v>
      </c>
      <c r="C45" s="506" t="s">
        <v>0</v>
      </c>
      <c r="D45" s="506" t="s">
        <v>1</v>
      </c>
      <c r="E45" s="506" t="s">
        <v>2</v>
      </c>
      <c r="F45" s="506" t="s">
        <v>3</v>
      </c>
      <c r="G45" s="506" t="s">
        <v>4</v>
      </c>
      <c r="H45" s="506" t="s">
        <v>5</v>
      </c>
      <c r="I45" s="506" t="s">
        <v>6</v>
      </c>
      <c r="J45" s="506" t="s">
        <v>7</v>
      </c>
      <c r="K45" s="506" t="s">
        <v>8</v>
      </c>
      <c r="L45" s="506" t="s">
        <v>9</v>
      </c>
      <c r="M45" s="506" t="s">
        <v>10</v>
      </c>
      <c r="N45" s="507" t="s">
        <v>11</v>
      </c>
    </row>
    <row r="46" spans="2:24" ht="15" customHeight="1" x14ac:dyDescent="0.25">
      <c r="B46" s="511" t="s">
        <v>410</v>
      </c>
      <c r="C46" s="554">
        <v>0.92</v>
      </c>
      <c r="D46" s="554">
        <v>0.92</v>
      </c>
      <c r="E46" s="554">
        <v>0.91</v>
      </c>
      <c r="F46" s="554">
        <v>0.9</v>
      </c>
      <c r="G46" s="554">
        <v>0.93</v>
      </c>
      <c r="H46" s="554">
        <v>0.86</v>
      </c>
      <c r="I46" s="554">
        <v>0.88</v>
      </c>
      <c r="J46" s="554">
        <v>0.95</v>
      </c>
      <c r="K46" s="554">
        <v>0.86</v>
      </c>
      <c r="L46" s="554">
        <v>0.91</v>
      </c>
      <c r="M46" s="554">
        <v>0.92</v>
      </c>
      <c r="N46" s="554">
        <v>0.89</v>
      </c>
      <c r="Q46" s="1654"/>
      <c r="R46" s="1654"/>
      <c r="S46" s="1654"/>
      <c r="T46" s="1654"/>
    </row>
    <row r="47" spans="2:24" ht="15" customHeight="1" x14ac:dyDescent="0.25">
      <c r="B47" s="510" t="s">
        <v>385</v>
      </c>
      <c r="C47" s="687">
        <v>0.85</v>
      </c>
      <c r="D47" s="687">
        <v>0.85</v>
      </c>
      <c r="E47" s="687">
        <v>0.85</v>
      </c>
      <c r="F47" s="687">
        <v>0.85</v>
      </c>
      <c r="G47" s="687">
        <v>0.85</v>
      </c>
      <c r="H47" s="687">
        <v>0.85</v>
      </c>
      <c r="I47" s="687">
        <v>0.85</v>
      </c>
      <c r="J47" s="687">
        <v>0.85</v>
      </c>
      <c r="K47" s="687">
        <v>0.85</v>
      </c>
      <c r="L47" s="687">
        <v>0.85</v>
      </c>
      <c r="M47" s="687">
        <v>0.85</v>
      </c>
      <c r="N47" s="687">
        <v>0.85</v>
      </c>
      <c r="Q47" s="1654"/>
      <c r="R47" s="1654"/>
      <c r="S47" s="1654"/>
      <c r="T47" s="1654"/>
    </row>
    <row r="48" spans="2:24" ht="15" customHeight="1" x14ac:dyDescent="0.25">
      <c r="B48" s="487" t="s">
        <v>17</v>
      </c>
      <c r="C48" s="490">
        <f>C$46-C$47</f>
        <v>7.0000000000000062E-2</v>
      </c>
      <c r="D48" s="490">
        <f t="shared" ref="D48:N48" si="4">D$46-D$47</f>
        <v>7.0000000000000062E-2</v>
      </c>
      <c r="E48" s="490">
        <f t="shared" si="4"/>
        <v>6.0000000000000053E-2</v>
      </c>
      <c r="F48" s="490">
        <f t="shared" si="4"/>
        <v>5.0000000000000044E-2</v>
      </c>
      <c r="G48" s="490">
        <f t="shared" si="4"/>
        <v>8.0000000000000071E-2</v>
      </c>
      <c r="H48" s="490">
        <f t="shared" si="4"/>
        <v>1.0000000000000009E-2</v>
      </c>
      <c r="I48" s="490">
        <f t="shared" si="4"/>
        <v>3.0000000000000027E-2</v>
      </c>
      <c r="J48" s="490">
        <f t="shared" si="4"/>
        <v>9.9999999999999978E-2</v>
      </c>
      <c r="K48" s="490">
        <f t="shared" si="4"/>
        <v>1.0000000000000009E-2</v>
      </c>
      <c r="L48" s="490">
        <f t="shared" si="4"/>
        <v>6.0000000000000053E-2</v>
      </c>
      <c r="M48" s="490">
        <f t="shared" si="4"/>
        <v>7.0000000000000062E-2</v>
      </c>
      <c r="N48" s="490">
        <f t="shared" si="4"/>
        <v>4.0000000000000036E-2</v>
      </c>
    </row>
    <row r="49" spans="2:22" ht="15" customHeight="1" x14ac:dyDescent="0.25">
      <c r="B49" s="43"/>
      <c r="C49" s="54"/>
    </row>
    <row r="50" spans="2:22" ht="15" customHeight="1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665" t="s">
        <v>372</v>
      </c>
      <c r="R51" s="1666"/>
      <c r="S51" s="1666"/>
      <c r="T51" s="1666"/>
      <c r="U51" s="1666"/>
      <c r="V51" s="1666"/>
    </row>
    <row r="52" spans="2:22" ht="17.25" thickTop="1" thickBot="1" x14ac:dyDescent="0.3">
      <c r="E52" s="1673" t="s">
        <v>372</v>
      </c>
      <c r="F52" s="1674"/>
      <c r="G52" s="1674"/>
      <c r="H52" s="1674"/>
      <c r="I52" s="1674"/>
      <c r="J52" s="1674"/>
      <c r="K52" s="1674"/>
      <c r="L52" s="1674"/>
      <c r="M52" s="1675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5" t="s">
        <v>372</v>
      </c>
      <c r="C55" s="506" t="s">
        <v>0</v>
      </c>
      <c r="D55" s="506" t="s">
        <v>1</v>
      </c>
      <c r="E55" s="506" t="s">
        <v>2</v>
      </c>
      <c r="F55" s="506" t="s">
        <v>3</v>
      </c>
      <c r="G55" s="506" t="s">
        <v>4</v>
      </c>
      <c r="H55" s="506" t="s">
        <v>5</v>
      </c>
      <c r="I55" s="506" t="s">
        <v>6</v>
      </c>
      <c r="J55" s="506" t="s">
        <v>7</v>
      </c>
      <c r="K55" s="506" t="s">
        <v>8</v>
      </c>
      <c r="L55" s="506" t="s">
        <v>9</v>
      </c>
      <c r="M55" s="506" t="s">
        <v>10</v>
      </c>
      <c r="N55" s="507" t="s">
        <v>11</v>
      </c>
    </row>
    <row r="56" spans="2:22" x14ac:dyDescent="0.25">
      <c r="B56" s="511" t="s">
        <v>383</v>
      </c>
      <c r="C56" s="539">
        <v>88</v>
      </c>
      <c r="D56" s="539">
        <v>121</v>
      </c>
      <c r="E56" s="539">
        <v>114</v>
      </c>
      <c r="F56" s="539">
        <v>157</v>
      </c>
      <c r="G56" s="539">
        <v>172</v>
      </c>
      <c r="H56" s="539">
        <v>189</v>
      </c>
      <c r="I56" s="539">
        <v>212</v>
      </c>
      <c r="J56" s="539">
        <v>52</v>
      </c>
      <c r="K56" s="539">
        <v>216</v>
      </c>
      <c r="L56" s="539">
        <v>160.32</v>
      </c>
      <c r="M56" s="539">
        <v>198.74</v>
      </c>
      <c r="N56" s="539">
        <v>84</v>
      </c>
    </row>
    <row r="57" spans="2:22" x14ac:dyDescent="0.25">
      <c r="B57" s="510" t="s">
        <v>385</v>
      </c>
      <c r="C57" s="531">
        <v>225</v>
      </c>
      <c r="D57" s="531">
        <v>225</v>
      </c>
      <c r="E57" s="531">
        <v>225</v>
      </c>
      <c r="F57" s="531">
        <v>225</v>
      </c>
      <c r="G57" s="531">
        <v>225</v>
      </c>
      <c r="H57" s="531">
        <v>225</v>
      </c>
      <c r="I57" s="531">
        <v>225</v>
      </c>
      <c r="J57" s="531">
        <v>225</v>
      </c>
      <c r="K57" s="531">
        <v>225</v>
      </c>
      <c r="L57" s="531">
        <v>225</v>
      </c>
      <c r="M57" s="531">
        <v>225</v>
      </c>
      <c r="N57" s="531">
        <v>225</v>
      </c>
    </row>
    <row r="58" spans="2:22" x14ac:dyDescent="0.25">
      <c r="B58" s="487" t="s">
        <v>17</v>
      </c>
      <c r="C58" s="541">
        <f>C$57-C$56</f>
        <v>137</v>
      </c>
      <c r="D58" s="541">
        <f t="shared" ref="D58:N58" si="5">D$57-D$56</f>
        <v>104</v>
      </c>
      <c r="E58" s="541">
        <f t="shared" si="5"/>
        <v>111</v>
      </c>
      <c r="F58" s="541">
        <f t="shared" si="5"/>
        <v>68</v>
      </c>
      <c r="G58" s="541">
        <f t="shared" si="5"/>
        <v>53</v>
      </c>
      <c r="H58" s="541">
        <f t="shared" si="5"/>
        <v>36</v>
      </c>
      <c r="I58" s="541">
        <f t="shared" si="5"/>
        <v>13</v>
      </c>
      <c r="J58" s="541">
        <f t="shared" si="5"/>
        <v>173</v>
      </c>
      <c r="K58" s="541">
        <f t="shared" si="5"/>
        <v>9</v>
      </c>
      <c r="L58" s="541">
        <f t="shared" si="5"/>
        <v>64.680000000000007</v>
      </c>
      <c r="M58" s="541">
        <f t="shared" si="5"/>
        <v>26.259999999999991</v>
      </c>
      <c r="N58" s="541">
        <f t="shared" si="5"/>
        <v>141</v>
      </c>
    </row>
    <row r="60" spans="2:22" x14ac:dyDescent="0.25">
      <c r="Q60" s="1665" t="s">
        <v>373</v>
      </c>
      <c r="R60" s="1665"/>
      <c r="S60" s="1665"/>
      <c r="T60" s="1665"/>
      <c r="U60" s="1665"/>
      <c r="V60" s="1665"/>
    </row>
    <row r="61" spans="2:22" ht="15.75" thickBot="1" x14ac:dyDescent="0.3"/>
    <row r="62" spans="2:22" ht="17.25" thickTop="1" thickBot="1" x14ac:dyDescent="0.3">
      <c r="E62" s="1673" t="s">
        <v>373</v>
      </c>
      <c r="F62" s="1674"/>
      <c r="G62" s="1674"/>
      <c r="H62" s="1674"/>
      <c r="I62" s="1674"/>
      <c r="J62" s="1674"/>
      <c r="K62" s="1674"/>
      <c r="L62" s="1674"/>
      <c r="M62" s="1675"/>
      <c r="R62" s="1665" t="s">
        <v>406</v>
      </c>
      <c r="S62" s="1665"/>
      <c r="T62" s="1665"/>
      <c r="U62" s="1665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5" t="s">
        <v>373</v>
      </c>
      <c r="C65" s="506" t="s">
        <v>0</v>
      </c>
      <c r="D65" s="506" t="s">
        <v>1</v>
      </c>
      <c r="E65" s="506" t="s">
        <v>2</v>
      </c>
      <c r="F65" s="506" t="s">
        <v>3</v>
      </c>
      <c r="G65" s="506" t="s">
        <v>4</v>
      </c>
      <c r="H65" s="506" t="s">
        <v>5</v>
      </c>
      <c r="I65" s="506" t="s">
        <v>6</v>
      </c>
      <c r="J65" s="506" t="s">
        <v>7</v>
      </c>
      <c r="K65" s="506" t="s">
        <v>8</v>
      </c>
      <c r="L65" s="506" t="s">
        <v>9</v>
      </c>
      <c r="M65" s="506" t="s">
        <v>10</v>
      </c>
      <c r="N65" s="507" t="s">
        <v>11</v>
      </c>
    </row>
    <row r="66" spans="2:23" x14ac:dyDescent="0.25">
      <c r="B66" s="511" t="s">
        <v>384</v>
      </c>
      <c r="C66" s="554">
        <v>1</v>
      </c>
      <c r="D66" s="489">
        <v>1</v>
      </c>
      <c r="E66" s="489">
        <v>1</v>
      </c>
      <c r="F66" s="489">
        <v>1</v>
      </c>
      <c r="G66" s="489">
        <v>1</v>
      </c>
      <c r="H66" s="489">
        <v>1</v>
      </c>
      <c r="I66" s="489">
        <f>DATOS!O$63</f>
        <v>0</v>
      </c>
      <c r="J66" s="489">
        <v>1</v>
      </c>
      <c r="K66" s="489">
        <v>1</v>
      </c>
      <c r="L66" s="489">
        <v>1</v>
      </c>
      <c r="M66" s="489">
        <v>1</v>
      </c>
      <c r="N66" s="489">
        <v>1</v>
      </c>
    </row>
    <row r="67" spans="2:23" x14ac:dyDescent="0.25">
      <c r="B67" s="510" t="s">
        <v>385</v>
      </c>
      <c r="C67" s="491">
        <v>1</v>
      </c>
      <c r="D67" s="491">
        <v>1</v>
      </c>
      <c r="E67" s="491">
        <v>1</v>
      </c>
      <c r="F67" s="491">
        <v>1</v>
      </c>
      <c r="G67" s="491">
        <v>1</v>
      </c>
      <c r="H67" s="491">
        <v>1</v>
      </c>
      <c r="I67" s="491">
        <v>1</v>
      </c>
      <c r="J67" s="491">
        <v>1</v>
      </c>
      <c r="K67" s="491">
        <v>1</v>
      </c>
      <c r="L67" s="491">
        <v>1</v>
      </c>
      <c r="M67" s="491">
        <v>1</v>
      </c>
      <c r="N67" s="491">
        <v>1</v>
      </c>
    </row>
    <row r="68" spans="2:23" x14ac:dyDescent="0.25">
      <c r="B68" s="487" t="s">
        <v>17</v>
      </c>
      <c r="C68" s="490">
        <f t="shared" ref="C68:H68" si="6">C66-C67</f>
        <v>0</v>
      </c>
      <c r="D68" s="490">
        <f t="shared" si="6"/>
        <v>0</v>
      </c>
      <c r="E68" s="490">
        <f t="shared" si="6"/>
        <v>0</v>
      </c>
      <c r="F68" s="490">
        <f t="shared" si="6"/>
        <v>0</v>
      </c>
      <c r="G68" s="490">
        <f t="shared" si="6"/>
        <v>0</v>
      </c>
      <c r="H68" s="490">
        <f t="shared" si="6"/>
        <v>0</v>
      </c>
      <c r="I68" s="490">
        <f t="shared" ref="I68:N68" si="7">I66-I67</f>
        <v>-1</v>
      </c>
      <c r="J68" s="490">
        <f t="shared" si="7"/>
        <v>0</v>
      </c>
      <c r="K68" s="490">
        <f t="shared" si="7"/>
        <v>0</v>
      </c>
      <c r="L68" s="490">
        <f t="shared" si="7"/>
        <v>0</v>
      </c>
      <c r="M68" s="490">
        <f t="shared" si="7"/>
        <v>0</v>
      </c>
      <c r="N68" s="490">
        <f t="shared" si="7"/>
        <v>0</v>
      </c>
    </row>
    <row r="70" spans="2:23" x14ac:dyDescent="0.25">
      <c r="Q70" s="1665" t="s">
        <v>374</v>
      </c>
      <c r="R70" s="1665"/>
      <c r="S70" s="1665"/>
      <c r="T70" s="1665"/>
      <c r="U70" s="1665"/>
      <c r="V70" s="1665"/>
      <c r="W70" s="1665"/>
    </row>
    <row r="75" spans="2:23" ht="15.75" thickBot="1" x14ac:dyDescent="0.3"/>
    <row r="76" spans="2:23" ht="17.25" thickTop="1" thickBot="1" x14ac:dyDescent="0.3">
      <c r="E76" s="1673" t="s">
        <v>374</v>
      </c>
      <c r="F76" s="1674"/>
      <c r="G76" s="1674"/>
      <c r="H76" s="1674"/>
      <c r="I76" s="1674"/>
      <c r="J76" s="1674"/>
      <c r="K76" s="1674"/>
      <c r="L76" s="1674"/>
      <c r="M76" s="1675"/>
      <c r="R76" s="1665" t="s">
        <v>374</v>
      </c>
      <c r="S76" s="1666"/>
      <c r="T76" s="1666"/>
      <c r="U76" s="1666"/>
      <c r="V76" s="1666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5.75" thickBot="1" x14ac:dyDescent="0.3">
      <c r="B79" s="495" t="s">
        <v>374</v>
      </c>
      <c r="C79" s="506" t="s">
        <v>0</v>
      </c>
      <c r="D79" s="506" t="s">
        <v>1</v>
      </c>
      <c r="E79" s="506" t="s">
        <v>2</v>
      </c>
      <c r="F79" s="506" t="s">
        <v>3</v>
      </c>
      <c r="G79" s="506" t="s">
        <v>4</v>
      </c>
      <c r="H79" s="506" t="s">
        <v>5</v>
      </c>
      <c r="I79" s="506" t="s">
        <v>6</v>
      </c>
      <c r="J79" s="506" t="s">
        <v>7</v>
      </c>
      <c r="K79" s="506" t="s">
        <v>8</v>
      </c>
      <c r="L79" s="506" t="s">
        <v>9</v>
      </c>
      <c r="M79" s="506" t="s">
        <v>10</v>
      </c>
      <c r="N79" s="507" t="s">
        <v>11</v>
      </c>
    </row>
    <row r="80" spans="2:23" x14ac:dyDescent="0.25">
      <c r="B80" s="492" t="s">
        <v>405</v>
      </c>
      <c r="C80" s="1492">
        <f>DATOS!C$64</f>
        <v>0</v>
      </c>
      <c r="D80" s="1492">
        <f>DATOS!E$64</f>
        <v>0</v>
      </c>
      <c r="E80" s="1492">
        <f>DATOS!G$64</f>
        <v>0</v>
      </c>
      <c r="F80" s="1492">
        <f>DATOS!I$64</f>
        <v>0</v>
      </c>
      <c r="G80" s="1492">
        <f>DATOS!K$64</f>
        <v>0</v>
      </c>
      <c r="H80" s="1492">
        <f>DATOS!M$64</f>
        <v>0</v>
      </c>
      <c r="I80" s="1492">
        <f>DATOS!O$64</f>
        <v>0</v>
      </c>
      <c r="J80" s="1492">
        <f>DATOS!Q$64</f>
        <v>0</v>
      </c>
      <c r="K80" s="1492">
        <f>DATOS!S$64</f>
        <v>0</v>
      </c>
      <c r="L80" s="1492">
        <f>DATOS!U$64</f>
        <v>0</v>
      </c>
      <c r="M80" s="1492">
        <f>DATOS!W$64</f>
        <v>0</v>
      </c>
      <c r="N80" s="1492">
        <f>DATOS!Y$64</f>
        <v>0</v>
      </c>
    </row>
    <row r="81" spans="2:22" x14ac:dyDescent="0.25">
      <c r="B81" s="511" t="s">
        <v>27</v>
      </c>
      <c r="C81" s="1492"/>
      <c r="D81" s="1492"/>
      <c r="E81" s="1492">
        <f>AVERAGE(C80:E80)</f>
        <v>0</v>
      </c>
      <c r="F81" s="1492"/>
      <c r="G81" s="1492"/>
      <c r="H81" s="1492">
        <f>AVERAGE(F80:H80)</f>
        <v>0</v>
      </c>
      <c r="I81" s="1492"/>
      <c r="J81" s="1492"/>
      <c r="K81" s="1492">
        <f>AVERAGE(I80:K80)</f>
        <v>0</v>
      </c>
      <c r="L81" s="1492"/>
      <c r="M81" s="1492"/>
      <c r="N81" s="1492">
        <f>AVERAGE(L80:N80)</f>
        <v>0</v>
      </c>
    </row>
    <row r="82" spans="2:22" x14ac:dyDescent="0.25">
      <c r="B82" s="510" t="s">
        <v>385</v>
      </c>
      <c r="C82" s="1493">
        <v>0</v>
      </c>
      <c r="D82" s="1493">
        <v>0</v>
      </c>
      <c r="E82" s="1493">
        <v>0</v>
      </c>
      <c r="F82" s="1493">
        <v>0</v>
      </c>
      <c r="G82" s="1493">
        <v>0</v>
      </c>
      <c r="H82" s="1493">
        <v>0</v>
      </c>
      <c r="I82" s="1493">
        <v>0</v>
      </c>
      <c r="J82" s="1493">
        <v>0</v>
      </c>
      <c r="K82" s="1493">
        <v>0</v>
      </c>
      <c r="L82" s="1493">
        <v>0</v>
      </c>
      <c r="M82" s="1493">
        <v>0</v>
      </c>
      <c r="N82" s="1493">
        <v>0</v>
      </c>
    </row>
    <row r="83" spans="2:22" x14ac:dyDescent="0.25">
      <c r="B83" s="487" t="s">
        <v>17</v>
      </c>
      <c r="C83" s="1494"/>
      <c r="D83" s="1494"/>
      <c r="E83" s="1494">
        <f>E82-E81</f>
        <v>0</v>
      </c>
      <c r="F83" s="1494"/>
      <c r="G83" s="1494"/>
      <c r="H83" s="1494">
        <f>H82-H81</f>
        <v>0</v>
      </c>
      <c r="I83" s="1494"/>
      <c r="J83" s="1494"/>
      <c r="K83" s="1494">
        <f>K82-K81</f>
        <v>0</v>
      </c>
      <c r="L83" s="1494"/>
      <c r="M83" s="1494"/>
      <c r="N83" s="1494">
        <f>N82-N81</f>
        <v>0</v>
      </c>
    </row>
    <row r="89" spans="2:22" ht="15.75" thickBot="1" x14ac:dyDescent="0.3"/>
    <row r="90" spans="2:22" ht="17.25" thickTop="1" thickBot="1" x14ac:dyDescent="0.3">
      <c r="E90" s="1673" t="s">
        <v>1110</v>
      </c>
      <c r="F90" s="1674"/>
      <c r="G90" s="1674"/>
      <c r="H90" s="1674"/>
      <c r="I90" s="1674"/>
      <c r="J90" s="1674"/>
      <c r="K90" s="1674"/>
      <c r="L90" s="1674"/>
      <c r="M90" s="1675"/>
    </row>
    <row r="91" spans="2:22" ht="16.5" thickTop="1" thickBot="1" x14ac:dyDescent="0.3">
      <c r="S91" s="1665" t="s">
        <v>1110</v>
      </c>
      <c r="T91" s="1665"/>
      <c r="U91" s="1665"/>
      <c r="V91" s="1665"/>
    </row>
    <row r="92" spans="2:22" ht="15.75" thickBot="1" x14ac:dyDescent="0.3">
      <c r="B92" s="495" t="s">
        <v>1110</v>
      </c>
      <c r="C92" s="506" t="s">
        <v>0</v>
      </c>
      <c r="D92" s="506" t="s">
        <v>1</v>
      </c>
      <c r="E92" s="506" t="s">
        <v>2</v>
      </c>
      <c r="F92" s="506" t="s">
        <v>3</v>
      </c>
      <c r="G92" s="506" t="s">
        <v>4</v>
      </c>
      <c r="H92" s="506" t="s">
        <v>5</v>
      </c>
      <c r="I92" s="506" t="s">
        <v>6</v>
      </c>
      <c r="J92" s="506" t="s">
        <v>7</v>
      </c>
      <c r="K92" s="506" t="s">
        <v>8</v>
      </c>
      <c r="L92" s="506" t="s">
        <v>9</v>
      </c>
      <c r="M92" s="506" t="s">
        <v>10</v>
      </c>
      <c r="N92" s="507" t="s">
        <v>11</v>
      </c>
    </row>
    <row r="93" spans="2:22" x14ac:dyDescent="0.25">
      <c r="B93" s="492" t="s">
        <v>1110</v>
      </c>
      <c r="C93" s="554">
        <v>0.9</v>
      </c>
      <c r="D93" s="554">
        <v>0.91</v>
      </c>
      <c r="E93" s="554">
        <v>0.93</v>
      </c>
      <c r="F93" s="554">
        <v>0.9</v>
      </c>
      <c r="G93" s="554">
        <v>0.95</v>
      </c>
      <c r="H93" s="554">
        <v>0.95</v>
      </c>
      <c r="I93" s="554">
        <v>1.1000000000000001</v>
      </c>
      <c r="J93" s="554">
        <v>1</v>
      </c>
      <c r="K93" s="554">
        <v>1.1000000000000001</v>
      </c>
      <c r="L93" s="554">
        <v>0.92</v>
      </c>
      <c r="M93" s="554">
        <v>0.93</v>
      </c>
      <c r="N93" s="554">
        <v>0.91</v>
      </c>
    </row>
    <row r="94" spans="2:22" x14ac:dyDescent="0.25">
      <c r="B94" s="511" t="s">
        <v>27</v>
      </c>
      <c r="C94" s="1489">
        <v>0.9</v>
      </c>
      <c r="D94" s="1489">
        <v>0.91</v>
      </c>
      <c r="E94" s="1489">
        <v>0.93</v>
      </c>
      <c r="F94" s="1489">
        <v>0.9</v>
      </c>
      <c r="G94" s="1489">
        <v>0.95</v>
      </c>
      <c r="H94" s="1489">
        <v>0.95</v>
      </c>
      <c r="I94" s="1489">
        <v>1.1000000000000001</v>
      </c>
      <c r="J94" s="1489">
        <v>1</v>
      </c>
      <c r="K94" s="1489">
        <v>1.1000000000000001</v>
      </c>
      <c r="L94" s="1489">
        <v>0.92</v>
      </c>
      <c r="M94" s="1489">
        <v>0.93</v>
      </c>
      <c r="N94" s="1489">
        <v>0.91</v>
      </c>
    </row>
    <row r="95" spans="2:22" x14ac:dyDescent="0.25">
      <c r="B95" s="510" t="s">
        <v>385</v>
      </c>
      <c r="C95" s="687">
        <v>0.85</v>
      </c>
      <c r="D95" s="687">
        <v>0.85</v>
      </c>
      <c r="E95" s="687">
        <v>0.85</v>
      </c>
      <c r="F95" s="687">
        <v>0.85</v>
      </c>
      <c r="G95" s="687">
        <v>0.85</v>
      </c>
      <c r="H95" s="687">
        <v>0.85</v>
      </c>
      <c r="I95" s="687">
        <v>0.85</v>
      </c>
      <c r="J95" s="687">
        <v>0.85</v>
      </c>
      <c r="K95" s="687">
        <v>0.85</v>
      </c>
      <c r="L95" s="687">
        <v>0.85</v>
      </c>
      <c r="M95" s="687">
        <v>0.85</v>
      </c>
      <c r="N95" s="687">
        <v>0.85</v>
      </c>
    </row>
    <row r="96" spans="2:22" x14ac:dyDescent="0.25">
      <c r="B96" s="487" t="s">
        <v>17</v>
      </c>
      <c r="C96" s="490">
        <f>C94-C95</f>
        <v>5.0000000000000044E-2</v>
      </c>
      <c r="D96" s="490">
        <f t="shared" ref="D96:N96" si="8">D94-D95</f>
        <v>6.0000000000000053E-2</v>
      </c>
      <c r="E96" s="490">
        <f t="shared" si="8"/>
        <v>8.0000000000000071E-2</v>
      </c>
      <c r="F96" s="490">
        <f t="shared" si="8"/>
        <v>5.0000000000000044E-2</v>
      </c>
      <c r="G96" s="490">
        <f t="shared" si="8"/>
        <v>9.9999999999999978E-2</v>
      </c>
      <c r="H96" s="490">
        <f t="shared" si="8"/>
        <v>9.9999999999999978E-2</v>
      </c>
      <c r="I96" s="490">
        <f t="shared" si="8"/>
        <v>0.25000000000000011</v>
      </c>
      <c r="J96" s="490">
        <f t="shared" si="8"/>
        <v>0.15000000000000002</v>
      </c>
      <c r="K96" s="490">
        <f t="shared" si="8"/>
        <v>0.25000000000000011</v>
      </c>
      <c r="L96" s="490">
        <f t="shared" si="8"/>
        <v>7.0000000000000062E-2</v>
      </c>
      <c r="M96" s="490">
        <f t="shared" si="8"/>
        <v>8.0000000000000071E-2</v>
      </c>
      <c r="N96" s="490">
        <f t="shared" si="8"/>
        <v>6.0000000000000053E-2</v>
      </c>
    </row>
    <row r="101" spans="2:22" ht="15.75" thickBot="1" x14ac:dyDescent="0.3"/>
    <row r="102" spans="2:22" ht="17.25" thickTop="1" thickBot="1" x14ac:dyDescent="0.3">
      <c r="E102" s="1673" t="s">
        <v>1111</v>
      </c>
      <c r="F102" s="1674"/>
      <c r="G102" s="1674"/>
      <c r="H102" s="1674"/>
      <c r="I102" s="1674"/>
      <c r="J102" s="1674"/>
      <c r="K102" s="1674"/>
      <c r="L102" s="1674"/>
      <c r="M102" s="1675"/>
    </row>
    <row r="103" spans="2:22" ht="16.5" thickTop="1" thickBot="1" x14ac:dyDescent="0.3">
      <c r="R103" s="1666" t="s">
        <v>1121</v>
      </c>
      <c r="S103" s="1666"/>
      <c r="T103" s="1666"/>
      <c r="U103" s="1666"/>
      <c r="V103" s="1666"/>
    </row>
    <row r="104" spans="2:22" ht="15.75" thickBot="1" x14ac:dyDescent="0.3">
      <c r="B104" s="495" t="s">
        <v>1112</v>
      </c>
      <c r="C104" s="506" t="s">
        <v>0</v>
      </c>
      <c r="D104" s="506" t="s">
        <v>1</v>
      </c>
      <c r="E104" s="506" t="s">
        <v>2</v>
      </c>
      <c r="F104" s="506" t="s">
        <v>3</v>
      </c>
      <c r="G104" s="506" t="s">
        <v>4</v>
      </c>
      <c r="H104" s="506" t="s">
        <v>5</v>
      </c>
      <c r="I104" s="506" t="s">
        <v>6</v>
      </c>
      <c r="J104" s="506" t="s">
        <v>7</v>
      </c>
      <c r="K104" s="506" t="s">
        <v>8</v>
      </c>
      <c r="L104" s="506" t="s">
        <v>9</v>
      </c>
      <c r="M104" s="506" t="s">
        <v>10</v>
      </c>
      <c r="N104" s="507" t="s">
        <v>11</v>
      </c>
    </row>
    <row r="105" spans="2:22" x14ac:dyDescent="0.25">
      <c r="B105" s="492" t="s">
        <v>1112</v>
      </c>
      <c r="C105" s="539">
        <v>20</v>
      </c>
      <c r="D105" s="539">
        <v>30</v>
      </c>
      <c r="E105" s="539">
        <v>40</v>
      </c>
      <c r="F105" s="539">
        <v>40.700000000000003</v>
      </c>
      <c r="G105" s="539">
        <v>38.5</v>
      </c>
      <c r="H105" s="539">
        <v>12.1</v>
      </c>
      <c r="I105" s="539">
        <v>12.34</v>
      </c>
      <c r="J105" s="539">
        <v>0.23</v>
      </c>
      <c r="K105" s="539">
        <v>5.15</v>
      </c>
      <c r="L105" s="539">
        <v>19.27</v>
      </c>
      <c r="M105" s="539">
        <v>7.53</v>
      </c>
      <c r="N105" s="539">
        <v>7.47</v>
      </c>
    </row>
    <row r="106" spans="2:22" x14ac:dyDescent="0.25">
      <c r="B106" s="511" t="s">
        <v>27</v>
      </c>
      <c r="C106" s="539">
        <v>20</v>
      </c>
      <c r="D106" s="539">
        <v>30</v>
      </c>
      <c r="E106" s="539">
        <v>40</v>
      </c>
      <c r="F106" s="539">
        <v>40.700000000000003</v>
      </c>
      <c r="G106" s="539">
        <v>38.5</v>
      </c>
      <c r="H106" s="539">
        <v>12.1</v>
      </c>
      <c r="I106" s="539">
        <v>12.34</v>
      </c>
      <c r="J106" s="539">
        <v>0.23</v>
      </c>
      <c r="K106" s="539">
        <v>5.15</v>
      </c>
      <c r="L106" s="539">
        <v>19.27</v>
      </c>
      <c r="M106" s="539">
        <v>7.53</v>
      </c>
      <c r="N106" s="539">
        <v>7.47</v>
      </c>
    </row>
    <row r="107" spans="2:22" x14ac:dyDescent="0.25">
      <c r="B107" s="510" t="s">
        <v>385</v>
      </c>
      <c r="C107" s="1490">
        <v>40</v>
      </c>
      <c r="D107" s="1490">
        <v>40</v>
      </c>
      <c r="E107" s="1490">
        <v>40</v>
      </c>
      <c r="F107" s="1490">
        <v>40</v>
      </c>
      <c r="G107" s="1490">
        <v>40</v>
      </c>
      <c r="H107" s="1490">
        <v>40</v>
      </c>
      <c r="I107" s="1490">
        <v>40</v>
      </c>
      <c r="J107" s="1490">
        <v>40</v>
      </c>
      <c r="K107" s="1490">
        <v>40</v>
      </c>
      <c r="L107" s="1490">
        <v>40</v>
      </c>
      <c r="M107" s="1490">
        <v>40</v>
      </c>
      <c r="N107" s="1490">
        <v>40</v>
      </c>
    </row>
    <row r="108" spans="2:22" x14ac:dyDescent="0.25">
      <c r="B108" s="487" t="s">
        <v>17</v>
      </c>
      <c r="C108" s="541">
        <f>C107-C106</f>
        <v>20</v>
      </c>
      <c r="D108" s="541">
        <f t="shared" ref="D108:N108" si="9">D107-D106</f>
        <v>10</v>
      </c>
      <c r="E108" s="541">
        <f t="shared" si="9"/>
        <v>0</v>
      </c>
      <c r="F108" s="1491">
        <f t="shared" si="9"/>
        <v>-0.70000000000000284</v>
      </c>
      <c r="G108" s="541">
        <f t="shared" si="9"/>
        <v>1.5</v>
      </c>
      <c r="H108" s="541">
        <f t="shared" si="9"/>
        <v>27.9</v>
      </c>
      <c r="I108" s="541">
        <f t="shared" si="9"/>
        <v>27.66</v>
      </c>
      <c r="J108" s="541">
        <f t="shared" si="9"/>
        <v>39.770000000000003</v>
      </c>
      <c r="K108" s="541">
        <f t="shared" si="9"/>
        <v>34.85</v>
      </c>
      <c r="L108" s="541">
        <f t="shared" si="9"/>
        <v>20.73</v>
      </c>
      <c r="M108" s="541">
        <f t="shared" si="9"/>
        <v>32.47</v>
      </c>
      <c r="N108" s="541">
        <f t="shared" si="9"/>
        <v>32.53</v>
      </c>
    </row>
    <row r="113" spans="2:23" ht="15.75" thickBot="1" x14ac:dyDescent="0.3"/>
    <row r="114" spans="2:23" ht="17.25" thickTop="1" thickBot="1" x14ac:dyDescent="0.3">
      <c r="E114" s="1673" t="s">
        <v>1117</v>
      </c>
      <c r="F114" s="1674"/>
      <c r="G114" s="1674"/>
      <c r="H114" s="1674"/>
      <c r="I114" s="1674"/>
      <c r="J114" s="1674"/>
      <c r="K114" s="1674"/>
      <c r="L114" s="1674"/>
      <c r="M114" s="1675"/>
    </row>
    <row r="115" spans="2:23" ht="16.5" thickTop="1" thickBot="1" x14ac:dyDescent="0.3">
      <c r="R115" s="1666" t="s">
        <v>1120</v>
      </c>
      <c r="S115" s="1666"/>
      <c r="T115" s="1666"/>
      <c r="U115" s="1666"/>
      <c r="V115" s="1666"/>
      <c r="W115" s="1666"/>
    </row>
    <row r="116" spans="2:23" ht="30.75" thickBot="1" x14ac:dyDescent="0.3">
      <c r="B116" s="495" t="s">
        <v>1118</v>
      </c>
      <c r="C116" s="506" t="s">
        <v>0</v>
      </c>
      <c r="D116" s="506" t="s">
        <v>1</v>
      </c>
      <c r="E116" s="506" t="s">
        <v>2</v>
      </c>
      <c r="F116" s="506" t="s">
        <v>3</v>
      </c>
      <c r="G116" s="506" t="s">
        <v>4</v>
      </c>
      <c r="H116" s="506" t="s">
        <v>5</v>
      </c>
      <c r="I116" s="506" t="s">
        <v>6</v>
      </c>
      <c r="J116" s="506" t="s">
        <v>7</v>
      </c>
      <c r="K116" s="506" t="s">
        <v>8</v>
      </c>
      <c r="L116" s="506" t="s">
        <v>9</v>
      </c>
      <c r="M116" s="506" t="s">
        <v>10</v>
      </c>
      <c r="N116" s="507" t="s">
        <v>11</v>
      </c>
    </row>
    <row r="117" spans="2:23" x14ac:dyDescent="0.25">
      <c r="B117" s="511" t="s">
        <v>1119</v>
      </c>
      <c r="C117" s="539">
        <v>100</v>
      </c>
      <c r="D117" s="539">
        <v>100</v>
      </c>
      <c r="E117" s="539">
        <v>100</v>
      </c>
      <c r="F117" s="539">
        <v>100</v>
      </c>
      <c r="G117" s="539">
        <v>100</v>
      </c>
      <c r="H117" s="539">
        <v>100</v>
      </c>
      <c r="I117" s="539">
        <v>100</v>
      </c>
      <c r="J117" s="539">
        <v>100</v>
      </c>
      <c r="K117" s="539">
        <v>100</v>
      </c>
      <c r="L117" s="539">
        <v>100</v>
      </c>
      <c r="M117" s="539">
        <v>100</v>
      </c>
      <c r="N117" s="539">
        <v>100</v>
      </c>
    </row>
    <row r="118" spans="2:23" x14ac:dyDescent="0.25">
      <c r="B118" s="510" t="s">
        <v>385</v>
      </c>
      <c r="C118" s="531">
        <v>90</v>
      </c>
      <c r="D118" s="531">
        <v>90</v>
      </c>
      <c r="E118" s="531">
        <v>90</v>
      </c>
      <c r="F118" s="531">
        <v>90</v>
      </c>
      <c r="G118" s="531">
        <v>90</v>
      </c>
      <c r="H118" s="531">
        <v>90</v>
      </c>
      <c r="I118" s="531">
        <v>90</v>
      </c>
      <c r="J118" s="531">
        <v>90</v>
      </c>
      <c r="K118" s="531">
        <v>90</v>
      </c>
      <c r="L118" s="531">
        <v>90</v>
      </c>
      <c r="M118" s="531">
        <v>90</v>
      </c>
      <c r="N118" s="531">
        <v>90</v>
      </c>
    </row>
    <row r="119" spans="2:23" x14ac:dyDescent="0.25">
      <c r="B119" s="487" t="s">
        <v>17</v>
      </c>
      <c r="C119" s="541">
        <f>C117-C118</f>
        <v>10</v>
      </c>
      <c r="D119" s="541">
        <f t="shared" ref="D119:N119" si="10">D117-D118</f>
        <v>10</v>
      </c>
      <c r="E119" s="541">
        <f t="shared" si="10"/>
        <v>10</v>
      </c>
      <c r="F119" s="541">
        <f t="shared" si="10"/>
        <v>10</v>
      </c>
      <c r="G119" s="541">
        <f t="shared" si="10"/>
        <v>10</v>
      </c>
      <c r="H119" s="541">
        <f t="shared" si="10"/>
        <v>10</v>
      </c>
      <c r="I119" s="541">
        <f t="shared" si="10"/>
        <v>10</v>
      </c>
      <c r="J119" s="541">
        <f t="shared" si="10"/>
        <v>10</v>
      </c>
      <c r="K119" s="541">
        <f t="shared" si="10"/>
        <v>10</v>
      </c>
      <c r="L119" s="541">
        <f t="shared" si="10"/>
        <v>10</v>
      </c>
      <c r="M119" s="541">
        <f t="shared" si="10"/>
        <v>10</v>
      </c>
      <c r="N119" s="541">
        <f t="shared" si="10"/>
        <v>10</v>
      </c>
    </row>
    <row r="123" spans="2:23" ht="15.75" thickBot="1" x14ac:dyDescent="0.3"/>
    <row r="124" spans="2:23" ht="17.25" thickTop="1" thickBot="1" x14ac:dyDescent="0.3">
      <c r="E124" s="1673" t="s">
        <v>1126</v>
      </c>
      <c r="F124" s="1674"/>
      <c r="G124" s="1674"/>
      <c r="H124" s="1674"/>
      <c r="I124" s="1674"/>
      <c r="J124" s="1674"/>
      <c r="K124" s="1674"/>
      <c r="L124" s="1674"/>
      <c r="M124" s="1675"/>
    </row>
    <row r="125" spans="2:23" ht="16.5" thickTop="1" thickBot="1" x14ac:dyDescent="0.3">
      <c r="R125" s="1666" t="s">
        <v>1122</v>
      </c>
      <c r="S125" s="1666"/>
      <c r="T125" s="1666"/>
      <c r="U125" s="1666"/>
      <c r="V125" s="1666"/>
      <c r="W125" s="1666"/>
    </row>
    <row r="126" spans="2:23" ht="30.75" thickBot="1" x14ac:dyDescent="0.3">
      <c r="B126" s="495" t="s">
        <v>1123</v>
      </c>
      <c r="C126" s="506" t="s">
        <v>0</v>
      </c>
      <c r="D126" s="506" t="s">
        <v>1</v>
      </c>
      <c r="E126" s="506" t="s">
        <v>2</v>
      </c>
      <c r="F126" s="506" t="s">
        <v>3</v>
      </c>
      <c r="G126" s="506" t="s">
        <v>4</v>
      </c>
      <c r="H126" s="506" t="s">
        <v>5</v>
      </c>
      <c r="I126" s="506" t="s">
        <v>6</v>
      </c>
      <c r="J126" s="506" t="s">
        <v>7</v>
      </c>
      <c r="K126" s="506" t="s">
        <v>8</v>
      </c>
      <c r="L126" s="506" t="s">
        <v>9</v>
      </c>
      <c r="M126" s="506" t="s">
        <v>10</v>
      </c>
      <c r="N126" s="507" t="s">
        <v>11</v>
      </c>
    </row>
    <row r="127" spans="2:23" x14ac:dyDescent="0.25">
      <c r="B127" s="511" t="s">
        <v>1124</v>
      </c>
      <c r="C127" s="539">
        <v>90</v>
      </c>
      <c r="D127" s="539">
        <v>90</v>
      </c>
      <c r="E127" s="539">
        <v>90</v>
      </c>
      <c r="F127" s="539">
        <v>90</v>
      </c>
      <c r="G127" s="539">
        <v>90</v>
      </c>
      <c r="H127" s="539">
        <v>100</v>
      </c>
      <c r="I127" s="539">
        <v>100</v>
      </c>
      <c r="J127" s="539">
        <v>100</v>
      </c>
      <c r="K127" s="539">
        <v>100</v>
      </c>
      <c r="L127" s="539">
        <v>100</v>
      </c>
      <c r="M127" s="539">
        <v>100</v>
      </c>
      <c r="N127" s="539">
        <v>100</v>
      </c>
    </row>
    <row r="128" spans="2:23" x14ac:dyDescent="0.25">
      <c r="B128" s="510" t="s">
        <v>385</v>
      </c>
      <c r="C128" s="531">
        <v>90</v>
      </c>
      <c r="D128" s="531">
        <v>90</v>
      </c>
      <c r="E128" s="531">
        <v>90</v>
      </c>
      <c r="F128" s="531">
        <v>90</v>
      </c>
      <c r="G128" s="531">
        <v>90</v>
      </c>
      <c r="H128" s="531">
        <v>90</v>
      </c>
      <c r="I128" s="531">
        <v>90</v>
      </c>
      <c r="J128" s="531">
        <v>90</v>
      </c>
      <c r="K128" s="531">
        <v>90</v>
      </c>
      <c r="L128" s="531">
        <v>90</v>
      </c>
      <c r="M128" s="531">
        <v>90</v>
      </c>
      <c r="N128" s="531">
        <v>90</v>
      </c>
    </row>
    <row r="129" spans="2:14" x14ac:dyDescent="0.25">
      <c r="B129" s="487" t="s">
        <v>17</v>
      </c>
      <c r="C129" s="541">
        <f>C127-C128</f>
        <v>0</v>
      </c>
      <c r="D129" s="541">
        <f t="shared" ref="D129" si="11">D127-D128</f>
        <v>0</v>
      </c>
      <c r="E129" s="541">
        <f t="shared" ref="E129" si="12">E127-E128</f>
        <v>0</v>
      </c>
      <c r="F129" s="541">
        <f t="shared" ref="F129" si="13">F127-F128</f>
        <v>0</v>
      </c>
      <c r="G129" s="541">
        <f t="shared" ref="G129" si="14">G127-G128</f>
        <v>0</v>
      </c>
      <c r="H129" s="541">
        <f t="shared" ref="H129" si="15">H127-H128</f>
        <v>10</v>
      </c>
      <c r="I129" s="541">
        <f t="shared" ref="I129" si="16">I127-I128</f>
        <v>10</v>
      </c>
      <c r="J129" s="541">
        <f t="shared" ref="J129" si="17">J127-J128</f>
        <v>10</v>
      </c>
      <c r="K129" s="541">
        <f t="shared" ref="K129" si="18">K127-K128</f>
        <v>10</v>
      </c>
      <c r="L129" s="541">
        <f t="shared" ref="L129" si="19">L127-L128</f>
        <v>10</v>
      </c>
      <c r="M129" s="541">
        <f t="shared" ref="M129" si="20">M127-M128</f>
        <v>10</v>
      </c>
      <c r="N129" s="541">
        <f t="shared" ref="N129" si="21">N127-N128</f>
        <v>10</v>
      </c>
    </row>
  </sheetData>
  <mergeCells count="32">
    <mergeCell ref="E76:M76"/>
    <mergeCell ref="Q70:W70"/>
    <mergeCell ref="E52:M52"/>
    <mergeCell ref="Q51:V51"/>
    <mergeCell ref="E62:M62"/>
    <mergeCell ref="Q60:V60"/>
    <mergeCell ref="R62:U62"/>
    <mergeCell ref="R76:V76"/>
    <mergeCell ref="E36:J36"/>
    <mergeCell ref="Q46:T46"/>
    <mergeCell ref="Q47:T47"/>
    <mergeCell ref="Q25:X25"/>
    <mergeCell ref="E42:M42"/>
    <mergeCell ref="E29:M29"/>
    <mergeCell ref="Q37:X37"/>
    <mergeCell ref="Q34:X34"/>
    <mergeCell ref="R40:U40"/>
    <mergeCell ref="R1:U1"/>
    <mergeCell ref="E14:K14"/>
    <mergeCell ref="Q18:V18"/>
    <mergeCell ref="Q13:V13"/>
    <mergeCell ref="Q35:T35"/>
    <mergeCell ref="E4:I4"/>
    <mergeCell ref="R21:S21"/>
    <mergeCell ref="E124:M124"/>
    <mergeCell ref="R125:W125"/>
    <mergeCell ref="E90:M90"/>
    <mergeCell ref="S91:V91"/>
    <mergeCell ref="E102:M102"/>
    <mergeCell ref="E114:M114"/>
    <mergeCell ref="R115:W115"/>
    <mergeCell ref="R103:V103"/>
  </mergeCells>
  <pageMargins left="0.7" right="0.7" top="0.75" bottom="0.75" header="0.3" footer="0.3"/>
  <pageSetup paperSize="9" orientation="portrait" r:id="rId1"/>
  <ignoredErrors>
    <ignoredError sqref="H10:N12 H23 K23 N23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097" r:id="rId4"/>
      </mc:Fallback>
    </mc:AlternateContent>
  </oleObjects>
  <tableParts count="2"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X83"/>
  <sheetViews>
    <sheetView topLeftCell="A40" zoomScale="70" zoomScaleNormal="70" workbookViewId="0">
      <selection activeCell="B52" sqref="B52"/>
    </sheetView>
  </sheetViews>
  <sheetFormatPr baseColWidth="10" defaultRowHeight="15" x14ac:dyDescent="0.25"/>
  <cols>
    <col min="1" max="1" width="8.140625" customWidth="1"/>
    <col min="2" max="2" width="40.140625" customWidth="1"/>
    <col min="3" max="13" width="11.7109375" customWidth="1"/>
    <col min="14" max="14" width="14.42578125" bestFit="1" customWidth="1"/>
  </cols>
  <sheetData>
    <row r="1" spans="2:22" x14ac:dyDescent="0.25">
      <c r="R1" s="1654" t="s">
        <v>55</v>
      </c>
      <c r="S1" s="1654"/>
      <c r="T1" s="1669"/>
      <c r="U1" s="1669"/>
    </row>
    <row r="3" spans="2:22" ht="15.75" thickBot="1" x14ac:dyDescent="0.3"/>
    <row r="4" spans="2:22" ht="17.25" thickTop="1" thickBot="1" x14ac:dyDescent="0.3">
      <c r="E4" s="1676" t="s">
        <v>59</v>
      </c>
      <c r="F4" s="1677"/>
      <c r="G4" s="1677"/>
      <c r="H4" s="1677"/>
      <c r="I4" s="1678"/>
    </row>
    <row r="5" spans="2:22" ht="15.75" thickTop="1" x14ac:dyDescent="0.25"/>
    <row r="6" spans="2:22" ht="27.75" customHeight="1" thickBot="1" x14ac:dyDescent="0.3">
      <c r="B6" s="500" t="s">
        <v>822</v>
      </c>
      <c r="C6" s="502" t="s">
        <v>0</v>
      </c>
      <c r="D6" s="502" t="s">
        <v>1</v>
      </c>
      <c r="E6" s="502" t="s">
        <v>2</v>
      </c>
      <c r="F6" s="502" t="s">
        <v>3</v>
      </c>
      <c r="G6" s="502" t="s">
        <v>4</v>
      </c>
      <c r="H6" s="502" t="s">
        <v>5</v>
      </c>
      <c r="I6" s="502" t="s">
        <v>6</v>
      </c>
      <c r="J6" s="502" t="s">
        <v>7</v>
      </c>
      <c r="K6" s="502" t="s">
        <v>8</v>
      </c>
      <c r="L6" s="502" t="s">
        <v>9</v>
      </c>
      <c r="M6" s="502" t="s">
        <v>10</v>
      </c>
      <c r="N6" s="503" t="s">
        <v>11</v>
      </c>
    </row>
    <row r="7" spans="2:22" x14ac:dyDescent="0.25">
      <c r="B7" s="75" t="s">
        <v>38</v>
      </c>
      <c r="C7" s="696">
        <f>DATOS!D$3</f>
        <v>100491.06</v>
      </c>
      <c r="D7" s="696">
        <f>DATOS!F$3</f>
        <v>140829.41</v>
      </c>
      <c r="E7" s="696">
        <f>DATOS!H$3</f>
        <v>78383.17</v>
      </c>
      <c r="F7" s="696">
        <f>DATOS!J$3</f>
        <v>115177.02</v>
      </c>
      <c r="G7" s="696">
        <f>DATOS!L$3</f>
        <v>131578.49</v>
      </c>
      <c r="H7" s="696">
        <f>DATOS!N$3</f>
        <v>146938.93</v>
      </c>
      <c r="I7" s="696">
        <f>DATOS!P$3</f>
        <v>1171781.1100000001</v>
      </c>
      <c r="J7" s="696">
        <f>DATOS!R$3</f>
        <v>15263.97</v>
      </c>
      <c r="K7" s="696">
        <f>DATOS!T$3</f>
        <v>163103.23000000001</v>
      </c>
      <c r="L7" s="696">
        <f>DATOS!V$3</f>
        <v>168743.54</v>
      </c>
      <c r="M7" s="696">
        <f>DATOS!X$3</f>
        <v>154602.73000000001</v>
      </c>
      <c r="N7" s="696">
        <f>DATOS!Z$3</f>
        <v>49042.68</v>
      </c>
    </row>
    <row r="8" spans="2:22" x14ac:dyDescent="0.25">
      <c r="B8" s="1" t="s">
        <v>56</v>
      </c>
      <c r="C8" s="496">
        <f>DATOS!D$22</f>
        <v>18</v>
      </c>
      <c r="D8" s="496">
        <f>DATOS!F$22</f>
        <v>20</v>
      </c>
      <c r="E8" s="496">
        <f>DATOS!H$22</f>
        <v>22</v>
      </c>
      <c r="F8" s="496">
        <f>DATOS!J$22</f>
        <v>20</v>
      </c>
      <c r="G8" s="496">
        <f>DATOS!L$22</f>
        <v>20</v>
      </c>
      <c r="H8" s="496">
        <f>DATOS!N$22</f>
        <v>22</v>
      </c>
      <c r="I8" s="496">
        <f>DATOS!P$22</f>
        <v>23</v>
      </c>
      <c r="J8" s="496">
        <f>DATOS!R$22</f>
        <v>21</v>
      </c>
      <c r="K8" s="496">
        <f>DATOS!T$22</f>
        <v>22</v>
      </c>
      <c r="L8" s="496">
        <f>DATOS!V$22</f>
        <v>21</v>
      </c>
      <c r="M8" s="496">
        <f>DATOS!X$22</f>
        <v>21</v>
      </c>
      <c r="N8" s="496">
        <f>DATOS!Z$22</f>
        <v>20</v>
      </c>
    </row>
    <row r="9" spans="2:22" x14ac:dyDescent="0.25">
      <c r="B9" s="1" t="s">
        <v>57</v>
      </c>
      <c r="C9" s="497">
        <f>DATOS!D$23</f>
        <v>2</v>
      </c>
      <c r="D9" s="497">
        <f>DATOS!F$23</f>
        <v>2</v>
      </c>
      <c r="E9" s="497">
        <f>DATOS!H$23</f>
        <v>2</v>
      </c>
      <c r="F9" s="497">
        <f>DATOS!J$23</f>
        <v>2</v>
      </c>
      <c r="G9" s="497">
        <f>DATOS!L$23</f>
        <v>2</v>
      </c>
      <c r="H9" s="497">
        <f>DATOS!N$23</f>
        <v>2</v>
      </c>
      <c r="I9" s="497">
        <f>DATOS!P$23</f>
        <v>2</v>
      </c>
      <c r="J9" s="497">
        <f>DATOS!R$23</f>
        <v>2</v>
      </c>
      <c r="K9" s="497">
        <f>DATOS!T$23</f>
        <v>2</v>
      </c>
      <c r="L9" s="497">
        <f>DATOS!V$23</f>
        <v>2</v>
      </c>
      <c r="M9" s="497">
        <f>DATOS!X$23</f>
        <v>2</v>
      </c>
      <c r="N9" s="497">
        <f>DATOS!Z$23</f>
        <v>2</v>
      </c>
    </row>
    <row r="10" spans="2:22" ht="18.75" x14ac:dyDescent="0.3">
      <c r="B10" s="77" t="s">
        <v>27</v>
      </c>
      <c r="C10" s="498">
        <f>(C$7/C$8)/C$9</f>
        <v>2791.4183333333331</v>
      </c>
      <c r="D10" s="498">
        <f t="shared" ref="D10:N10" si="0">(D$7/D$8)/D$9</f>
        <v>3520.7352500000002</v>
      </c>
      <c r="E10" s="498">
        <f t="shared" si="0"/>
        <v>1781.4356818181818</v>
      </c>
      <c r="F10" s="498">
        <f t="shared" si="0"/>
        <v>2879.4255000000003</v>
      </c>
      <c r="G10" s="498">
        <f t="shared" si="0"/>
        <v>3289.4622499999996</v>
      </c>
      <c r="H10" s="498">
        <f t="shared" si="0"/>
        <v>3339.5211363636363</v>
      </c>
      <c r="I10" s="498">
        <f t="shared" si="0"/>
        <v>25473.502391304351</v>
      </c>
      <c r="J10" s="498">
        <f t="shared" si="0"/>
        <v>363.42785714285714</v>
      </c>
      <c r="K10" s="498">
        <f t="shared" si="0"/>
        <v>3706.8915909090911</v>
      </c>
      <c r="L10" s="498">
        <f t="shared" si="0"/>
        <v>4017.7033333333334</v>
      </c>
      <c r="M10" s="498">
        <f t="shared" si="0"/>
        <v>3681.0173809523812</v>
      </c>
      <c r="N10" s="498">
        <f t="shared" si="0"/>
        <v>1226.067</v>
      </c>
    </row>
    <row r="11" spans="2:22" x14ac:dyDescent="0.25">
      <c r="B11" s="1" t="s">
        <v>20</v>
      </c>
      <c r="C11" s="497">
        <v>360</v>
      </c>
      <c r="D11" s="497">
        <v>360</v>
      </c>
      <c r="E11" s="497">
        <v>360</v>
      </c>
      <c r="F11" s="497">
        <v>360</v>
      </c>
      <c r="G11" s="497">
        <v>360</v>
      </c>
      <c r="H11" s="497">
        <v>360</v>
      </c>
      <c r="I11" s="497">
        <v>360</v>
      </c>
      <c r="J11" s="497">
        <v>360</v>
      </c>
      <c r="K11" s="497">
        <v>360</v>
      </c>
      <c r="L11" s="497">
        <v>360</v>
      </c>
      <c r="M11" s="497">
        <v>360</v>
      </c>
      <c r="N11" s="497">
        <v>360</v>
      </c>
    </row>
    <row r="12" spans="2:22" x14ac:dyDescent="0.25">
      <c r="B12" s="8" t="s">
        <v>17</v>
      </c>
      <c r="C12" s="499">
        <f>C10-C11</f>
        <v>2431.4183333333331</v>
      </c>
      <c r="D12" s="499">
        <f t="shared" ref="D12:N12" si="1">D10-D11</f>
        <v>3160.7352500000002</v>
      </c>
      <c r="E12" s="499">
        <f t="shared" si="1"/>
        <v>1421.4356818181818</v>
      </c>
      <c r="F12" s="499">
        <f t="shared" si="1"/>
        <v>2519.4255000000003</v>
      </c>
      <c r="G12" s="499">
        <f t="shared" si="1"/>
        <v>2929.4622499999996</v>
      </c>
      <c r="H12" s="499">
        <f t="shared" si="1"/>
        <v>2979.5211363636363</v>
      </c>
      <c r="I12" s="499">
        <f t="shared" si="1"/>
        <v>25113.502391304351</v>
      </c>
      <c r="J12" s="499">
        <f t="shared" si="1"/>
        <v>3.4278571428571354</v>
      </c>
      <c r="K12" s="499">
        <f t="shared" si="1"/>
        <v>3346.8915909090911</v>
      </c>
      <c r="L12" s="499">
        <f t="shared" si="1"/>
        <v>3657.7033333333334</v>
      </c>
      <c r="M12" s="499">
        <f t="shared" si="1"/>
        <v>3321.0173809523812</v>
      </c>
      <c r="N12" s="499">
        <f t="shared" si="1"/>
        <v>866.06700000000001</v>
      </c>
    </row>
    <row r="13" spans="2:22" ht="15.75" thickBot="1" x14ac:dyDescent="0.3">
      <c r="Q13" s="1654" t="s">
        <v>58</v>
      </c>
      <c r="R13" s="1654"/>
      <c r="S13" s="1654"/>
      <c r="T13" s="1654"/>
      <c r="U13" s="1654"/>
      <c r="V13" s="1669"/>
    </row>
    <row r="14" spans="2:22" ht="27.75" thickTop="1" thickBot="1" x14ac:dyDescent="0.45">
      <c r="C14" s="38"/>
      <c r="D14" s="50"/>
      <c r="E14" s="1676" t="s">
        <v>58</v>
      </c>
      <c r="F14" s="1677"/>
      <c r="G14" s="1677"/>
      <c r="H14" s="1677"/>
      <c r="I14" s="1677"/>
      <c r="J14" s="1677"/>
      <c r="K14" s="1678"/>
      <c r="L14" s="50"/>
      <c r="M14" s="50"/>
    </row>
    <row r="15" spans="2:22" ht="15.75" thickTop="1" x14ac:dyDescent="0.25"/>
    <row r="16" spans="2:22" ht="33" customHeight="1" thickBot="1" x14ac:dyDescent="0.3">
      <c r="B16" s="501" t="s">
        <v>823</v>
      </c>
      <c r="C16" s="504" t="s">
        <v>0</v>
      </c>
      <c r="D16" s="504" t="s">
        <v>1</v>
      </c>
      <c r="E16" s="504" t="s">
        <v>2</v>
      </c>
      <c r="F16" s="504" t="s">
        <v>3</v>
      </c>
      <c r="G16" s="504" t="s">
        <v>4</v>
      </c>
      <c r="H16" s="504" t="s">
        <v>5</v>
      </c>
      <c r="I16" s="504" t="s">
        <v>6</v>
      </c>
      <c r="J16" s="504" t="s">
        <v>7</v>
      </c>
      <c r="K16" s="504" t="s">
        <v>8</v>
      </c>
      <c r="L16" s="504" t="s">
        <v>9</v>
      </c>
      <c r="M16" s="504" t="s">
        <v>10</v>
      </c>
      <c r="N16" s="505" t="s">
        <v>11</v>
      </c>
    </row>
    <row r="17" spans="2:24" ht="15" customHeight="1" x14ac:dyDescent="0.25">
      <c r="B17" s="73" t="s">
        <v>60</v>
      </c>
      <c r="C17" s="688">
        <f>DATOS!D$16</f>
        <v>1047.0899999999999</v>
      </c>
      <c r="D17" s="688">
        <f>DATOS!F$11</f>
        <v>382.36</v>
      </c>
      <c r="E17" s="688">
        <f>DATOS!H$11</f>
        <v>460.22</v>
      </c>
      <c r="F17" s="688">
        <f>DATOS!J$11</f>
        <v>310.66000000000003</v>
      </c>
      <c r="G17" s="688">
        <f>DATOS!L$11</f>
        <v>9778.06</v>
      </c>
      <c r="H17" s="688">
        <f>DATOS!N$11</f>
        <v>516.20000000000005</v>
      </c>
      <c r="I17" s="688">
        <f>DATOS!P$11</f>
        <v>498.43</v>
      </c>
      <c r="J17" s="688">
        <f>DATOS!R$11</f>
        <v>331.79</v>
      </c>
      <c r="K17" s="688">
        <f>DATOS!T$16</f>
        <v>1602.99</v>
      </c>
      <c r="L17" s="688">
        <f>DATOS!V$11</f>
        <v>387.25</v>
      </c>
      <c r="M17" s="688">
        <f>DATOS!X$11</f>
        <v>441.25</v>
      </c>
      <c r="N17" s="688">
        <f>DATOS!Z$11</f>
        <v>359.38</v>
      </c>
      <c r="P17" s="970"/>
      <c r="Q17" s="970"/>
      <c r="R17" s="970"/>
      <c r="S17" s="970"/>
      <c r="T17" s="970"/>
      <c r="U17" s="970"/>
    </row>
    <row r="18" spans="2:24" ht="15" customHeight="1" x14ac:dyDescent="0.25">
      <c r="B18" s="71" t="s">
        <v>61</v>
      </c>
      <c r="C18" s="688">
        <f>DATOS!D$12</f>
        <v>13566.29</v>
      </c>
      <c r="D18" s="688">
        <f>DATOS!F$12</f>
        <v>19011.97</v>
      </c>
      <c r="E18" s="688">
        <f>DATOS!H$12</f>
        <v>14443.8</v>
      </c>
      <c r="F18" s="688">
        <f>DATOS!J$12</f>
        <v>15548.9</v>
      </c>
      <c r="G18" s="688">
        <f>DATOS!L$12</f>
        <v>17763.099999999999</v>
      </c>
      <c r="H18" s="688">
        <f>DATOS!N$12</f>
        <v>17763.099999999999</v>
      </c>
      <c r="I18" s="688">
        <f>DATOS!P$12</f>
        <v>27726.47</v>
      </c>
      <c r="J18" s="688">
        <f>DATOS!R$12</f>
        <v>11631.99</v>
      </c>
      <c r="K18" s="688">
        <f>DATOS!T$12</f>
        <v>13494.81</v>
      </c>
      <c r="L18" s="688">
        <f>DATOS!V$12</f>
        <v>15780.37</v>
      </c>
      <c r="M18" s="688">
        <f>DATOS!X$12</f>
        <v>12003.59</v>
      </c>
      <c r="N18" s="688">
        <f>DATOS!Z$12</f>
        <v>-49007.18</v>
      </c>
      <c r="P18" s="970"/>
      <c r="Q18" s="1654"/>
      <c r="R18" s="1654"/>
      <c r="S18" s="1654"/>
      <c r="T18" s="1654"/>
      <c r="U18" s="1654"/>
      <c r="V18" s="1669"/>
    </row>
    <row r="19" spans="2:24" ht="15" customHeight="1" x14ac:dyDescent="0.25">
      <c r="B19" t="s">
        <v>62</v>
      </c>
      <c r="C19" s="689">
        <f>DATOS!D$6</f>
        <v>20271.23</v>
      </c>
      <c r="D19" s="689">
        <f>DATOS!F$6</f>
        <v>23765.599999999999</v>
      </c>
      <c r="E19" s="689">
        <f>DATOS!H$6</f>
        <v>20914.5</v>
      </c>
      <c r="F19" s="689">
        <f>DATOS!J$6</f>
        <v>20754.8</v>
      </c>
      <c r="G19" s="689">
        <f>DATOS!L$6</f>
        <v>21988.62</v>
      </c>
      <c r="H19" s="689">
        <f>DATOS!N$6</f>
        <v>22356.21</v>
      </c>
      <c r="I19" s="689">
        <f>DATOS!P$6</f>
        <v>0</v>
      </c>
      <c r="J19" s="689">
        <f>DATOS!R$6</f>
        <v>0</v>
      </c>
      <c r="K19" s="689">
        <f>DATOS!T$6</f>
        <v>0</v>
      </c>
      <c r="L19" s="689">
        <f>DATOS!V$6</f>
        <v>0</v>
      </c>
      <c r="M19" s="689">
        <f>DATOS!X$6</f>
        <v>0</v>
      </c>
      <c r="N19" s="689">
        <f>DATOS!Z$6</f>
        <v>0</v>
      </c>
    </row>
    <row r="20" spans="2:24" ht="15" customHeight="1" x14ac:dyDescent="0.25">
      <c r="B20" s="76" t="s">
        <v>63</v>
      </c>
      <c r="C20" s="690">
        <f>DATOS!D$3</f>
        <v>100491.06</v>
      </c>
      <c r="D20" s="690">
        <f>DATOS!F$3</f>
        <v>140829.41</v>
      </c>
      <c r="E20" s="690">
        <f>DATOS!H$3</f>
        <v>78383.17</v>
      </c>
      <c r="F20" s="690">
        <f>DATOS!J$3</f>
        <v>115177.02</v>
      </c>
      <c r="G20" s="690">
        <f>DATOS!L$3</f>
        <v>131578.49</v>
      </c>
      <c r="H20" s="690">
        <f>DATOS!N$3</f>
        <v>146938.93</v>
      </c>
      <c r="I20" s="690">
        <f>DATOS!P$3</f>
        <v>1171781.1100000001</v>
      </c>
      <c r="J20" s="690">
        <f>DATOS!R$3</f>
        <v>15263.97</v>
      </c>
      <c r="K20" s="690">
        <f>DATOS!T$3</f>
        <v>163103.23000000001</v>
      </c>
      <c r="L20" s="690">
        <f>DATOS!V$3</f>
        <v>168743.54</v>
      </c>
      <c r="M20" s="690">
        <f>DATOS!X$3</f>
        <v>154602.73000000001</v>
      </c>
      <c r="N20" s="690">
        <f>DATOS!Z$3</f>
        <v>49042.68</v>
      </c>
    </row>
    <row r="21" spans="2:24" ht="15" customHeight="1" x14ac:dyDescent="0.3">
      <c r="B21" s="77" t="s">
        <v>27</v>
      </c>
      <c r="C21" s="691">
        <f>((C17+C18+C19)/C20)</f>
        <v>0.34714142730706593</v>
      </c>
      <c r="D21" s="691">
        <f t="shared" ref="D21:N21" si="2">((D17+D18+D19)/D20)</f>
        <v>0.30646957904602457</v>
      </c>
      <c r="E21" s="691">
        <f t="shared" si="2"/>
        <v>0.4569669739052401</v>
      </c>
      <c r="F21" s="691">
        <f t="shared" si="2"/>
        <v>0.31789639982003354</v>
      </c>
      <c r="G21" s="691">
        <f t="shared" si="2"/>
        <v>0.37642763646246435</v>
      </c>
      <c r="H21" s="691">
        <f t="shared" si="2"/>
        <v>0.27654693007496378</v>
      </c>
      <c r="I21" s="691">
        <f t="shared" si="2"/>
        <v>2.4087177851842993E-2</v>
      </c>
      <c r="J21" s="691">
        <f t="shared" si="2"/>
        <v>0.7837921589206478</v>
      </c>
      <c r="K21" s="691">
        <f t="shared" si="2"/>
        <v>9.2565916689693994E-2</v>
      </c>
      <c r="L21" s="691">
        <f t="shared" si="2"/>
        <v>9.5811786335642829E-2</v>
      </c>
      <c r="M21" s="691">
        <f t="shared" si="2"/>
        <v>8.0495603150086678E-2</v>
      </c>
      <c r="N21" s="691">
        <f t="shared" si="2"/>
        <v>-0.99194823773904695</v>
      </c>
      <c r="R21" s="1654"/>
      <c r="S21" s="1654"/>
    </row>
    <row r="22" spans="2:24" ht="15" customHeight="1" x14ac:dyDescent="0.25">
      <c r="B22" s="1" t="s">
        <v>20</v>
      </c>
      <c r="C22" s="692">
        <v>0.55000000000000004</v>
      </c>
      <c r="D22" s="692">
        <v>0.55000000000000004</v>
      </c>
      <c r="E22" s="692">
        <v>0.55000000000000004</v>
      </c>
      <c r="F22" s="692">
        <v>0.55000000000000004</v>
      </c>
      <c r="G22" s="692">
        <v>0.55000000000000004</v>
      </c>
      <c r="H22" s="692">
        <v>0.55000000000000004</v>
      </c>
      <c r="I22" s="692">
        <v>0.55000000000000004</v>
      </c>
      <c r="J22" s="692">
        <v>0.55000000000000004</v>
      </c>
      <c r="K22" s="692">
        <v>0.55000000000000004</v>
      </c>
      <c r="L22" s="692">
        <v>0.55000000000000004</v>
      </c>
      <c r="M22" s="692">
        <v>0.55000000000000004</v>
      </c>
      <c r="N22" s="692">
        <v>0.55000000000000004</v>
      </c>
    </row>
    <row r="23" spans="2:24" ht="15" customHeight="1" x14ac:dyDescent="0.25">
      <c r="B23" s="8" t="s">
        <v>17</v>
      </c>
      <c r="C23" s="693">
        <f>C22-C21</f>
        <v>0.20285857269293411</v>
      </c>
      <c r="D23" s="693">
        <f t="shared" ref="D23:N23" si="3">D22-D21</f>
        <v>0.24353042095397548</v>
      </c>
      <c r="E23" s="693">
        <f t="shared" si="3"/>
        <v>9.3033026094759941E-2</v>
      </c>
      <c r="F23" s="693">
        <f t="shared" si="3"/>
        <v>0.23210360017996651</v>
      </c>
      <c r="G23" s="693">
        <f t="shared" si="3"/>
        <v>0.17357236353753569</v>
      </c>
      <c r="H23" s="693">
        <f t="shared" si="3"/>
        <v>0.27345306992503626</v>
      </c>
      <c r="I23" s="693">
        <f t="shared" si="3"/>
        <v>0.52591282214815704</v>
      </c>
      <c r="J23" s="693">
        <f t="shared" si="3"/>
        <v>-0.23379215892064775</v>
      </c>
      <c r="K23" s="693">
        <f t="shared" si="3"/>
        <v>0.45743408331030605</v>
      </c>
      <c r="L23" s="693">
        <f t="shared" si="3"/>
        <v>0.45418821366435724</v>
      </c>
      <c r="M23" s="693">
        <f t="shared" si="3"/>
        <v>0.46950439684991335</v>
      </c>
      <c r="N23" s="693">
        <f t="shared" si="3"/>
        <v>1.541948237739047</v>
      </c>
    </row>
    <row r="24" spans="2:24" ht="15" customHeight="1" x14ac:dyDescent="0.25"/>
    <row r="25" spans="2:24" ht="15" customHeight="1" x14ac:dyDescent="0.25">
      <c r="Q25" s="1665" t="s">
        <v>381</v>
      </c>
      <c r="R25" s="1665"/>
      <c r="S25" s="1665"/>
      <c r="T25" s="1665"/>
      <c r="U25" s="1665"/>
      <c r="V25" s="1665"/>
      <c r="W25" s="1665"/>
      <c r="X25" s="1665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8"/>
      <c r="F28" s="488"/>
      <c r="G28" s="488"/>
      <c r="H28" s="488"/>
      <c r="I28" s="488"/>
    </row>
    <row r="29" spans="2:24" ht="15" customHeight="1" thickTop="1" thickBot="1" x14ac:dyDescent="0.3">
      <c r="E29" s="1676" t="s">
        <v>381</v>
      </c>
      <c r="F29" s="1677"/>
      <c r="G29" s="1677"/>
      <c r="H29" s="1677"/>
      <c r="I29" s="1677"/>
      <c r="J29" s="1677"/>
      <c r="K29" s="1677"/>
      <c r="L29" s="1677"/>
      <c r="M29" s="1678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4" t="s">
        <v>824</v>
      </c>
      <c r="C32" s="506" t="s">
        <v>0</v>
      </c>
      <c r="D32" s="506" t="s">
        <v>1</v>
      </c>
      <c r="E32" s="506" t="s">
        <v>2</v>
      </c>
      <c r="F32" s="506" t="s">
        <v>3</v>
      </c>
      <c r="G32" s="506" t="s">
        <v>4</v>
      </c>
      <c r="H32" s="506" t="s">
        <v>5</v>
      </c>
      <c r="I32" s="506" t="s">
        <v>6</v>
      </c>
      <c r="J32" s="506" t="s">
        <v>7</v>
      </c>
      <c r="K32" s="506" t="s">
        <v>8</v>
      </c>
      <c r="L32" s="506" t="s">
        <v>9</v>
      </c>
      <c r="M32" s="506" t="s">
        <v>10</v>
      </c>
      <c r="N32" s="507" t="s">
        <v>11</v>
      </c>
    </row>
    <row r="33" spans="2:24" ht="15" customHeight="1" x14ac:dyDescent="0.25">
      <c r="B33" s="509" t="s">
        <v>404</v>
      </c>
      <c r="C33" s="539">
        <f>DATOS!D$60</f>
        <v>0</v>
      </c>
      <c r="D33" s="539">
        <f>DATOS!F$60</f>
        <v>0</v>
      </c>
      <c r="E33" s="539">
        <f>DATOS!H$60</f>
        <v>0</v>
      </c>
      <c r="F33" s="539">
        <f>DATOS!J$60</f>
        <v>0</v>
      </c>
      <c r="G33" s="539">
        <f>DATOS!L$60</f>
        <v>0</v>
      </c>
      <c r="H33" s="539">
        <f>DATOS!N$60</f>
        <v>0</v>
      </c>
      <c r="I33" s="539">
        <f>DATOS!P$60</f>
        <v>0</v>
      </c>
      <c r="J33" s="539">
        <f>DATOS!R$60</f>
        <v>0</v>
      </c>
      <c r="K33" s="539">
        <f>DATOS!T$60</f>
        <v>0</v>
      </c>
      <c r="L33" s="539">
        <f>DATOS!V$60</f>
        <v>0</v>
      </c>
      <c r="M33" s="539">
        <f>DATOS!X$60</f>
        <v>0</v>
      </c>
      <c r="N33" s="539">
        <f>DATOS!Z$60</f>
        <v>0</v>
      </c>
    </row>
    <row r="34" spans="2:24" ht="15" customHeight="1" x14ac:dyDescent="0.25">
      <c r="B34" s="508" t="s">
        <v>385</v>
      </c>
      <c r="C34" s="540">
        <v>35</v>
      </c>
      <c r="D34" s="540">
        <v>35</v>
      </c>
      <c r="E34" s="540">
        <v>35</v>
      </c>
      <c r="F34" s="540">
        <v>35</v>
      </c>
      <c r="G34" s="540">
        <v>35</v>
      </c>
      <c r="H34" s="540">
        <v>35</v>
      </c>
      <c r="I34" s="540">
        <v>35</v>
      </c>
      <c r="J34" s="540">
        <v>35</v>
      </c>
      <c r="K34" s="540">
        <v>35</v>
      </c>
      <c r="L34" s="540">
        <v>35</v>
      </c>
      <c r="M34" s="540">
        <v>35</v>
      </c>
      <c r="N34" s="540">
        <v>35</v>
      </c>
      <c r="Q34" s="1665"/>
      <c r="R34" s="1665"/>
      <c r="S34" s="1665"/>
      <c r="T34" s="1665"/>
      <c r="U34" s="1665"/>
      <c r="V34" s="1665"/>
      <c r="W34" s="1665"/>
      <c r="X34" s="1665"/>
    </row>
    <row r="35" spans="2:24" ht="15" customHeight="1" x14ac:dyDescent="0.25">
      <c r="B35" s="493" t="s">
        <v>17</v>
      </c>
      <c r="C35" s="541">
        <f>C$34-C$33</f>
        <v>35</v>
      </c>
      <c r="D35" s="541">
        <f t="shared" ref="D35:N35" si="4">D$34-D$33</f>
        <v>35</v>
      </c>
      <c r="E35" s="541">
        <f t="shared" si="4"/>
        <v>35</v>
      </c>
      <c r="F35" s="541">
        <f t="shared" si="4"/>
        <v>35</v>
      </c>
      <c r="G35" s="541">
        <f t="shared" si="4"/>
        <v>35</v>
      </c>
      <c r="H35" s="541">
        <f t="shared" si="4"/>
        <v>35</v>
      </c>
      <c r="I35" s="541">
        <f t="shared" si="4"/>
        <v>35</v>
      </c>
      <c r="J35" s="541">
        <f t="shared" si="4"/>
        <v>35</v>
      </c>
      <c r="K35" s="541">
        <f t="shared" si="4"/>
        <v>35</v>
      </c>
      <c r="L35" s="541">
        <f t="shared" si="4"/>
        <v>35</v>
      </c>
      <c r="M35" s="541">
        <f t="shared" si="4"/>
        <v>35</v>
      </c>
      <c r="N35" s="541">
        <f t="shared" si="4"/>
        <v>35</v>
      </c>
      <c r="Q35" s="1654"/>
      <c r="R35" s="1654"/>
      <c r="S35" s="1654"/>
      <c r="T35" s="1654"/>
    </row>
    <row r="36" spans="2:24" ht="15" customHeight="1" x14ac:dyDescent="0.4">
      <c r="E36" s="1679"/>
      <c r="F36" s="1679"/>
      <c r="G36" s="1679"/>
      <c r="H36" s="1679"/>
      <c r="I36" s="1679"/>
      <c r="J36" s="1680"/>
    </row>
    <row r="37" spans="2:24" ht="15" customHeight="1" x14ac:dyDescent="0.4">
      <c r="E37" s="971"/>
      <c r="F37" s="971"/>
      <c r="G37" s="971"/>
      <c r="H37" s="971"/>
      <c r="I37" s="971"/>
      <c r="J37" s="972"/>
      <c r="Q37" s="1665"/>
      <c r="R37" s="1665"/>
      <c r="S37" s="1665"/>
      <c r="T37" s="1665"/>
      <c r="U37" s="1665"/>
      <c r="V37" s="1665"/>
      <c r="W37" s="1665"/>
      <c r="X37" s="1665"/>
    </row>
    <row r="38" spans="2:24" ht="15" customHeight="1" x14ac:dyDescent="0.4">
      <c r="E38" s="971"/>
      <c r="F38" s="971"/>
      <c r="G38" s="971"/>
      <c r="H38" s="971"/>
      <c r="I38" s="971"/>
      <c r="J38" s="972"/>
    </row>
    <row r="39" spans="2:24" ht="15" customHeight="1" x14ac:dyDescent="0.4">
      <c r="E39" s="971"/>
      <c r="F39" s="971"/>
      <c r="G39" s="971"/>
      <c r="H39" s="971"/>
      <c r="I39" s="971"/>
      <c r="J39" s="972"/>
    </row>
    <row r="40" spans="2:24" ht="15" customHeight="1" x14ac:dyDescent="0.25">
      <c r="R40" s="1654" t="s">
        <v>371</v>
      </c>
      <c r="S40" s="1654"/>
      <c r="T40" s="1654"/>
      <c r="U40" s="1654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673" t="s">
        <v>371</v>
      </c>
      <c r="F42" s="1674"/>
      <c r="G42" s="1674"/>
      <c r="H42" s="1674"/>
      <c r="I42" s="1674"/>
      <c r="J42" s="1674"/>
      <c r="K42" s="1674"/>
      <c r="L42" s="1674"/>
      <c r="M42" s="1675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970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5" t="s">
        <v>825</v>
      </c>
      <c r="C45" s="506" t="s">
        <v>0</v>
      </c>
      <c r="D45" s="506" t="s">
        <v>1</v>
      </c>
      <c r="E45" s="506" t="s">
        <v>2</v>
      </c>
      <c r="F45" s="506" t="s">
        <v>3</v>
      </c>
      <c r="G45" s="506" t="s">
        <v>4</v>
      </c>
      <c r="H45" s="506" t="s">
        <v>5</v>
      </c>
      <c r="I45" s="506" t="s">
        <v>6</v>
      </c>
      <c r="J45" s="506" t="s">
        <v>7</v>
      </c>
      <c r="K45" s="506" t="s">
        <v>8</v>
      </c>
      <c r="L45" s="506" t="s">
        <v>9</v>
      </c>
      <c r="M45" s="506" t="s">
        <v>10</v>
      </c>
      <c r="N45" s="507" t="s">
        <v>11</v>
      </c>
    </row>
    <row r="46" spans="2:24" ht="15" customHeight="1" x14ac:dyDescent="0.25">
      <c r="B46" s="511" t="s">
        <v>410</v>
      </c>
      <c r="C46" s="554">
        <f>DATOS!D$61</f>
        <v>0</v>
      </c>
      <c r="D46" s="554">
        <f>DATOS!F$61</f>
        <v>0</v>
      </c>
      <c r="E46" s="554">
        <f>DATOS!H$61</f>
        <v>0</v>
      </c>
      <c r="F46" s="554">
        <f>DATOS!J$61</f>
        <v>0</v>
      </c>
      <c r="G46" s="554">
        <f>DATOS!L$61</f>
        <v>0</v>
      </c>
      <c r="H46" s="554">
        <f>DATOS!N$61</f>
        <v>0</v>
      </c>
      <c r="I46" s="554">
        <f>DATOS!P$61</f>
        <v>0</v>
      </c>
      <c r="J46" s="554">
        <f>DATOS!R$61</f>
        <v>0</v>
      </c>
      <c r="K46" s="554">
        <f>DATOS!T$61</f>
        <v>0</v>
      </c>
      <c r="L46" s="554">
        <f>DATOS!V$61</f>
        <v>0</v>
      </c>
      <c r="M46" s="554">
        <f>DATOS!X$61</f>
        <v>0</v>
      </c>
      <c r="N46" s="554">
        <f>DATOS!Z$61</f>
        <v>0</v>
      </c>
      <c r="Q46" s="1654"/>
      <c r="R46" s="1654"/>
      <c r="S46" s="1654"/>
      <c r="T46" s="1654"/>
    </row>
    <row r="47" spans="2:24" ht="15" customHeight="1" x14ac:dyDescent="0.25">
      <c r="B47" s="510" t="s">
        <v>385</v>
      </c>
      <c r="C47" s="687">
        <v>1</v>
      </c>
      <c r="D47" s="687">
        <v>1</v>
      </c>
      <c r="E47" s="687">
        <v>1</v>
      </c>
      <c r="F47" s="687">
        <v>1</v>
      </c>
      <c r="G47" s="687">
        <v>1</v>
      </c>
      <c r="H47" s="687">
        <v>1</v>
      </c>
      <c r="I47" s="687">
        <v>1</v>
      </c>
      <c r="J47" s="687">
        <v>1</v>
      </c>
      <c r="K47" s="687">
        <v>1</v>
      </c>
      <c r="L47" s="687">
        <v>1</v>
      </c>
      <c r="M47" s="687">
        <v>1</v>
      </c>
      <c r="N47" s="687">
        <v>1</v>
      </c>
      <c r="Q47" s="1654"/>
      <c r="R47" s="1654"/>
      <c r="S47" s="1654"/>
      <c r="T47" s="1654"/>
    </row>
    <row r="48" spans="2:24" ht="15" customHeight="1" x14ac:dyDescent="0.25">
      <c r="B48" s="487" t="s">
        <v>17</v>
      </c>
      <c r="C48" s="490">
        <f>C$46-C$47</f>
        <v>-1</v>
      </c>
      <c r="D48" s="490">
        <f t="shared" ref="D48:N48" si="5">D$46-D$47</f>
        <v>-1</v>
      </c>
      <c r="E48" s="490">
        <f t="shared" si="5"/>
        <v>-1</v>
      </c>
      <c r="F48" s="490">
        <f t="shared" si="5"/>
        <v>-1</v>
      </c>
      <c r="G48" s="490">
        <f t="shared" si="5"/>
        <v>-1</v>
      </c>
      <c r="H48" s="490">
        <f t="shared" si="5"/>
        <v>-1</v>
      </c>
      <c r="I48" s="490">
        <f t="shared" si="5"/>
        <v>-1</v>
      </c>
      <c r="J48" s="490">
        <f t="shared" si="5"/>
        <v>-1</v>
      </c>
      <c r="K48" s="490">
        <f t="shared" si="5"/>
        <v>-1</v>
      </c>
      <c r="L48" s="490">
        <f t="shared" si="5"/>
        <v>-1</v>
      </c>
      <c r="M48" s="490">
        <f t="shared" si="5"/>
        <v>-1</v>
      </c>
      <c r="N48" s="490">
        <f t="shared" si="5"/>
        <v>-1</v>
      </c>
    </row>
    <row r="49" spans="2:22" x14ac:dyDescent="0.25">
      <c r="B49" s="43"/>
      <c r="C49" s="54"/>
    </row>
    <row r="50" spans="2:22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665" t="s">
        <v>372</v>
      </c>
      <c r="R51" s="1666"/>
      <c r="S51" s="1666"/>
      <c r="T51" s="1666"/>
      <c r="U51" s="1666"/>
      <c r="V51" s="1666"/>
    </row>
    <row r="52" spans="2:22" ht="17.25" thickTop="1" thickBot="1" x14ac:dyDescent="0.3">
      <c r="E52" s="1673" t="s">
        <v>372</v>
      </c>
      <c r="F52" s="1674"/>
      <c r="G52" s="1674"/>
      <c r="H52" s="1674"/>
      <c r="I52" s="1674"/>
      <c r="J52" s="1674"/>
      <c r="K52" s="1674"/>
      <c r="L52" s="1674"/>
      <c r="M52" s="1675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5" t="s">
        <v>372</v>
      </c>
      <c r="C55" s="506" t="s">
        <v>0</v>
      </c>
      <c r="D55" s="506" t="s">
        <v>1</v>
      </c>
      <c r="E55" s="506" t="s">
        <v>2</v>
      </c>
      <c r="F55" s="506" t="s">
        <v>3</v>
      </c>
      <c r="G55" s="506" t="s">
        <v>4</v>
      </c>
      <c r="H55" s="506" t="s">
        <v>5</v>
      </c>
      <c r="I55" s="506" t="s">
        <v>6</v>
      </c>
      <c r="J55" s="506" t="s">
        <v>7</v>
      </c>
      <c r="K55" s="506" t="s">
        <v>8</v>
      </c>
      <c r="L55" s="506" t="s">
        <v>9</v>
      </c>
      <c r="M55" s="506" t="s">
        <v>10</v>
      </c>
      <c r="N55" s="507" t="s">
        <v>11</v>
      </c>
    </row>
    <row r="56" spans="2:22" x14ac:dyDescent="0.25">
      <c r="B56" s="511" t="s">
        <v>383</v>
      </c>
      <c r="C56" s="542">
        <f>DATOS!D62</f>
        <v>0</v>
      </c>
      <c r="D56" s="542">
        <f>DATOS!F62</f>
        <v>0</v>
      </c>
      <c r="E56" s="542">
        <f>DATOS!H62</f>
        <v>0</v>
      </c>
      <c r="F56" s="542">
        <f>DATOS!J62</f>
        <v>0</v>
      </c>
      <c r="G56" s="542">
        <f>DATOS!L62</f>
        <v>0</v>
      </c>
      <c r="H56" s="542">
        <f>DATOS!N62</f>
        <v>0</v>
      </c>
      <c r="I56" s="542">
        <f>DATOS!P62</f>
        <v>0</v>
      </c>
      <c r="J56" s="542">
        <f>DATOS!R62</f>
        <v>0</v>
      </c>
      <c r="K56" s="542">
        <f>DATOS!T62</f>
        <v>0</v>
      </c>
      <c r="L56" s="542">
        <f>DATOS!V62</f>
        <v>0</v>
      </c>
      <c r="M56" s="542">
        <f>DATOS!X62</f>
        <v>0</v>
      </c>
      <c r="N56" s="542">
        <f>DATOS!Z62</f>
        <v>0</v>
      </c>
    </row>
    <row r="57" spans="2:22" x14ac:dyDescent="0.25">
      <c r="B57" s="510" t="s">
        <v>385</v>
      </c>
      <c r="C57" s="531">
        <v>250</v>
      </c>
      <c r="D57" s="531">
        <v>250</v>
      </c>
      <c r="E57" s="531">
        <v>250</v>
      </c>
      <c r="F57" s="531">
        <v>250</v>
      </c>
      <c r="G57" s="531">
        <v>250</v>
      </c>
      <c r="H57" s="531">
        <v>250</v>
      </c>
      <c r="I57" s="531">
        <v>250</v>
      </c>
      <c r="J57" s="531">
        <v>250</v>
      </c>
      <c r="K57" s="531">
        <v>250</v>
      </c>
      <c r="L57" s="531">
        <v>250</v>
      </c>
      <c r="M57" s="531">
        <v>250</v>
      </c>
      <c r="N57" s="531">
        <v>250</v>
      </c>
    </row>
    <row r="58" spans="2:22" x14ac:dyDescent="0.25">
      <c r="B58" s="487" t="s">
        <v>17</v>
      </c>
      <c r="C58" s="541">
        <f>C$57-C$56</f>
        <v>250</v>
      </c>
      <c r="D58" s="541">
        <f t="shared" ref="D58:N58" si="6">D$57-D$56</f>
        <v>250</v>
      </c>
      <c r="E58" s="541">
        <f t="shared" si="6"/>
        <v>250</v>
      </c>
      <c r="F58" s="541">
        <f t="shared" si="6"/>
        <v>250</v>
      </c>
      <c r="G58" s="541">
        <f t="shared" si="6"/>
        <v>250</v>
      </c>
      <c r="H58" s="541">
        <f t="shared" si="6"/>
        <v>250</v>
      </c>
      <c r="I58" s="541">
        <f t="shared" si="6"/>
        <v>250</v>
      </c>
      <c r="J58" s="541">
        <f t="shared" si="6"/>
        <v>250</v>
      </c>
      <c r="K58" s="541">
        <f t="shared" si="6"/>
        <v>250</v>
      </c>
      <c r="L58" s="541">
        <f t="shared" si="6"/>
        <v>250</v>
      </c>
      <c r="M58" s="541">
        <f t="shared" si="6"/>
        <v>250</v>
      </c>
      <c r="N58" s="541">
        <f t="shared" si="6"/>
        <v>250</v>
      </c>
    </row>
    <row r="60" spans="2:22" x14ac:dyDescent="0.25">
      <c r="Q60" s="1665" t="s">
        <v>373</v>
      </c>
      <c r="R60" s="1665"/>
      <c r="S60" s="1665"/>
      <c r="T60" s="1665"/>
      <c r="U60" s="1665"/>
      <c r="V60" s="1665"/>
    </row>
    <row r="61" spans="2:22" ht="15.75" thickBot="1" x14ac:dyDescent="0.3"/>
    <row r="62" spans="2:22" ht="17.25" thickTop="1" thickBot="1" x14ac:dyDescent="0.3">
      <c r="E62" s="1673" t="s">
        <v>373</v>
      </c>
      <c r="F62" s="1674"/>
      <c r="G62" s="1674"/>
      <c r="H62" s="1674"/>
      <c r="I62" s="1674"/>
      <c r="J62" s="1674"/>
      <c r="K62" s="1674"/>
      <c r="L62" s="1674"/>
      <c r="M62" s="1675"/>
      <c r="R62" s="1665" t="s">
        <v>406</v>
      </c>
      <c r="S62" s="1665"/>
      <c r="T62" s="1665"/>
      <c r="U62" s="1665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5" t="s">
        <v>373</v>
      </c>
      <c r="C65" s="506" t="s">
        <v>0</v>
      </c>
      <c r="D65" s="506" t="s">
        <v>1</v>
      </c>
      <c r="E65" s="506" t="s">
        <v>2</v>
      </c>
      <c r="F65" s="506" t="s">
        <v>3</v>
      </c>
      <c r="G65" s="506" t="s">
        <v>4</v>
      </c>
      <c r="H65" s="506" t="s">
        <v>5</v>
      </c>
      <c r="I65" s="506" t="s">
        <v>6</v>
      </c>
      <c r="J65" s="506" t="s">
        <v>7</v>
      </c>
      <c r="K65" s="506" t="s">
        <v>8</v>
      </c>
      <c r="L65" s="506" t="s">
        <v>9</v>
      </c>
      <c r="M65" s="506" t="s">
        <v>10</v>
      </c>
      <c r="N65" s="507" t="s">
        <v>11</v>
      </c>
    </row>
    <row r="66" spans="2:23" x14ac:dyDescent="0.25">
      <c r="B66" s="511" t="s">
        <v>384</v>
      </c>
      <c r="C66" s="554">
        <f>DATOS!D$63</f>
        <v>0</v>
      </c>
      <c r="D66" s="489">
        <f>DATOS!F$63</f>
        <v>0</v>
      </c>
      <c r="E66" s="489">
        <f>DATOS!H$63</f>
        <v>0</v>
      </c>
      <c r="F66" s="489">
        <f>DATOS!J$63</f>
        <v>0</v>
      </c>
      <c r="G66" s="489">
        <f>DATOS!L$63</f>
        <v>0</v>
      </c>
      <c r="H66" s="489">
        <f>DATOS!N$63</f>
        <v>0</v>
      </c>
      <c r="I66" s="489">
        <f>DATOS!P$63</f>
        <v>0</v>
      </c>
      <c r="J66" s="489">
        <f>DATOS!R$63</f>
        <v>0</v>
      </c>
      <c r="K66" s="489">
        <f>DATOS!T$63</f>
        <v>0</v>
      </c>
      <c r="L66" s="489">
        <f>DATOS!V$63</f>
        <v>0</v>
      </c>
      <c r="M66" s="489">
        <f>DATOS!X$63</f>
        <v>0</v>
      </c>
      <c r="N66" s="489">
        <f>DATOS!Z$63</f>
        <v>0</v>
      </c>
    </row>
    <row r="67" spans="2:23" x14ac:dyDescent="0.25">
      <c r="B67" s="510" t="s">
        <v>385</v>
      </c>
      <c r="C67" s="491">
        <v>1</v>
      </c>
      <c r="D67" s="491">
        <v>1</v>
      </c>
      <c r="E67" s="491">
        <v>1</v>
      </c>
      <c r="F67" s="491">
        <v>1</v>
      </c>
      <c r="G67" s="491">
        <v>1</v>
      </c>
      <c r="H67" s="491">
        <v>1</v>
      </c>
      <c r="I67" s="491">
        <v>1</v>
      </c>
      <c r="J67" s="491">
        <v>1</v>
      </c>
      <c r="K67" s="491">
        <v>1</v>
      </c>
      <c r="L67" s="491">
        <v>1</v>
      </c>
      <c r="M67" s="491">
        <v>1</v>
      </c>
      <c r="N67" s="491">
        <v>1</v>
      </c>
    </row>
    <row r="68" spans="2:23" x14ac:dyDescent="0.25">
      <c r="B68" s="487" t="s">
        <v>17</v>
      </c>
      <c r="C68" s="490">
        <f t="shared" ref="C68:N68" si="7">C66-C67</f>
        <v>-1</v>
      </c>
      <c r="D68" s="490">
        <f t="shared" si="7"/>
        <v>-1</v>
      </c>
      <c r="E68" s="490">
        <f t="shared" si="7"/>
        <v>-1</v>
      </c>
      <c r="F68" s="490">
        <f t="shared" si="7"/>
        <v>-1</v>
      </c>
      <c r="G68" s="490">
        <f t="shared" si="7"/>
        <v>-1</v>
      </c>
      <c r="H68" s="490">
        <f t="shared" si="7"/>
        <v>-1</v>
      </c>
      <c r="I68" s="490">
        <f t="shared" si="7"/>
        <v>-1</v>
      </c>
      <c r="J68" s="490">
        <f t="shared" si="7"/>
        <v>-1</v>
      </c>
      <c r="K68" s="490">
        <f t="shared" si="7"/>
        <v>-1</v>
      </c>
      <c r="L68" s="490">
        <f t="shared" si="7"/>
        <v>-1</v>
      </c>
      <c r="M68" s="490">
        <f t="shared" si="7"/>
        <v>-1</v>
      </c>
      <c r="N68" s="490">
        <f t="shared" si="7"/>
        <v>-1</v>
      </c>
    </row>
    <row r="70" spans="2:23" x14ac:dyDescent="0.25">
      <c r="Q70" s="1665" t="s">
        <v>374</v>
      </c>
      <c r="R70" s="1665"/>
      <c r="S70" s="1665"/>
      <c r="T70" s="1665"/>
      <c r="U70" s="1665"/>
      <c r="V70" s="1665"/>
      <c r="W70" s="1665"/>
    </row>
    <row r="75" spans="2:23" ht="15.75" thickBot="1" x14ac:dyDescent="0.3"/>
    <row r="76" spans="2:23" ht="17.25" thickTop="1" thickBot="1" x14ac:dyDescent="0.3">
      <c r="E76" s="1673" t="s">
        <v>374</v>
      </c>
      <c r="F76" s="1674"/>
      <c r="G76" s="1674"/>
      <c r="H76" s="1674"/>
      <c r="I76" s="1674"/>
      <c r="J76" s="1674"/>
      <c r="K76" s="1674"/>
      <c r="L76" s="1674"/>
      <c r="M76" s="1675"/>
      <c r="R76" s="1665" t="s">
        <v>374</v>
      </c>
      <c r="S76" s="1666"/>
      <c r="T76" s="1666"/>
      <c r="U76" s="1666"/>
      <c r="V76" s="1666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8" customHeight="1" thickBot="1" x14ac:dyDescent="0.3">
      <c r="B79" s="495" t="s">
        <v>374</v>
      </c>
      <c r="C79" s="506" t="s">
        <v>0</v>
      </c>
      <c r="D79" s="506" t="s">
        <v>1</v>
      </c>
      <c r="E79" s="506" t="s">
        <v>2</v>
      </c>
      <c r="F79" s="506" t="s">
        <v>3</v>
      </c>
      <c r="G79" s="506" t="s">
        <v>4</v>
      </c>
      <c r="H79" s="506" t="s">
        <v>5</v>
      </c>
      <c r="I79" s="506" t="s">
        <v>6</v>
      </c>
      <c r="J79" s="506" t="s">
        <v>7</v>
      </c>
      <c r="K79" s="506" t="s">
        <v>8</v>
      </c>
      <c r="L79" s="506" t="s">
        <v>9</v>
      </c>
      <c r="M79" s="506" t="s">
        <v>10</v>
      </c>
      <c r="N79" s="507" t="s">
        <v>11</v>
      </c>
    </row>
    <row r="80" spans="2:23" x14ac:dyDescent="0.25">
      <c r="B80" s="492" t="s">
        <v>405</v>
      </c>
      <c r="C80" s="542">
        <f>DATOS!D$64</f>
        <v>0</v>
      </c>
      <c r="D80" s="542">
        <f>DATOS!F$64</f>
        <v>0</v>
      </c>
      <c r="E80" s="542">
        <f>DATOS!H$64</f>
        <v>0</v>
      </c>
      <c r="F80" s="542">
        <f>DATOS!J$64</f>
        <v>0</v>
      </c>
      <c r="G80" s="542">
        <f>DATOS!L$64</f>
        <v>0</v>
      </c>
      <c r="H80" s="542">
        <f>DATOS!N$64</f>
        <v>0</v>
      </c>
      <c r="I80" s="542">
        <f>DATOS!P$64</f>
        <v>0</v>
      </c>
      <c r="J80" s="542">
        <f>DATOS!R$64</f>
        <v>0</v>
      </c>
      <c r="K80" s="542">
        <f>DATOS!T$64</f>
        <v>0</v>
      </c>
      <c r="L80" s="542">
        <f>DATOS!V$64</f>
        <v>0</v>
      </c>
      <c r="M80" s="542">
        <f>DATOS!X$64</f>
        <v>0</v>
      </c>
      <c r="N80" s="542">
        <f>DATOS!Z$64</f>
        <v>0</v>
      </c>
    </row>
    <row r="81" spans="2:14" x14ac:dyDescent="0.25">
      <c r="B81" s="511" t="s">
        <v>27</v>
      </c>
      <c r="C81" s="489"/>
      <c r="D81" s="489"/>
      <c r="E81" s="489">
        <f>AVERAGE(C80:E80)</f>
        <v>0</v>
      </c>
      <c r="F81" s="489"/>
      <c r="G81" s="489"/>
      <c r="H81" s="489">
        <f>AVERAGE(F80:H80)</f>
        <v>0</v>
      </c>
      <c r="I81" s="489"/>
      <c r="J81" s="489"/>
      <c r="K81" s="489">
        <f>AVERAGE(I80:K80)</f>
        <v>0</v>
      </c>
      <c r="L81" s="489"/>
      <c r="M81" s="489"/>
      <c r="N81" s="489">
        <f>AVERAGE(L80:N80)</f>
        <v>0</v>
      </c>
    </row>
    <row r="82" spans="2:14" x14ac:dyDescent="0.25">
      <c r="B82" s="510" t="s">
        <v>385</v>
      </c>
      <c r="C82" s="531">
        <v>0</v>
      </c>
      <c r="D82" s="531">
        <v>0</v>
      </c>
      <c r="E82" s="531">
        <v>0</v>
      </c>
      <c r="F82" s="531">
        <v>0</v>
      </c>
      <c r="G82" s="531">
        <v>0</v>
      </c>
      <c r="H82" s="531">
        <v>0</v>
      </c>
      <c r="I82" s="531">
        <v>0</v>
      </c>
      <c r="J82" s="531">
        <v>0</v>
      </c>
      <c r="K82" s="531">
        <v>0</v>
      </c>
      <c r="L82" s="531">
        <v>0</v>
      </c>
      <c r="M82" s="531">
        <v>0</v>
      </c>
      <c r="N82" s="531">
        <v>0</v>
      </c>
    </row>
    <row r="83" spans="2:14" x14ac:dyDescent="0.25">
      <c r="B83" s="487" t="s">
        <v>17</v>
      </c>
      <c r="C83" s="490"/>
      <c r="D83" s="490"/>
      <c r="E83" s="490">
        <f>E82-E81</f>
        <v>0</v>
      </c>
      <c r="F83" s="490"/>
      <c r="G83" s="490"/>
      <c r="H83" s="490">
        <f>H82-H81</f>
        <v>0</v>
      </c>
      <c r="I83" s="490"/>
      <c r="J83" s="490"/>
      <c r="K83" s="490">
        <f>K82-K81</f>
        <v>0</v>
      </c>
      <c r="L83" s="490"/>
      <c r="M83" s="490"/>
      <c r="N83" s="490">
        <f>N82-N81</f>
        <v>0</v>
      </c>
    </row>
  </sheetData>
  <mergeCells count="24">
    <mergeCell ref="R21:S21"/>
    <mergeCell ref="R1:U1"/>
    <mergeCell ref="E4:I4"/>
    <mergeCell ref="Q13:V13"/>
    <mergeCell ref="E14:K14"/>
    <mergeCell ref="Q18:V18"/>
    <mergeCell ref="E52:M52"/>
    <mergeCell ref="Q25:X25"/>
    <mergeCell ref="E29:M29"/>
    <mergeCell ref="Q34:X34"/>
    <mergeCell ref="Q35:T35"/>
    <mergeCell ref="E36:J36"/>
    <mergeCell ref="Q37:X37"/>
    <mergeCell ref="R40:U40"/>
    <mergeCell ref="E42:M42"/>
    <mergeCell ref="Q46:T46"/>
    <mergeCell ref="Q47:T47"/>
    <mergeCell ref="Q51:V51"/>
    <mergeCell ref="Q60:V60"/>
    <mergeCell ref="E62:M62"/>
    <mergeCell ref="R62:U62"/>
    <mergeCell ref="Q70:W70"/>
    <mergeCell ref="E76:M76"/>
    <mergeCell ref="R76:V7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1985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1985" r:id="rId3"/>
      </mc:Fallback>
    </mc:AlternateContent>
  </oleObjects>
  <tableParts count="2"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rgb="FF00B050"/>
  </sheetPr>
  <dimension ref="B1:V181"/>
  <sheetViews>
    <sheetView topLeftCell="A41" zoomScale="70" zoomScaleNormal="70" workbookViewId="0">
      <pane xSplit="2" topLeftCell="C1" activePane="topRight" state="frozen"/>
      <selection activeCell="F21" sqref="F21:I21"/>
      <selection pane="topRight" activeCell="G66" sqref="G66"/>
    </sheetView>
  </sheetViews>
  <sheetFormatPr baseColWidth="10" defaultRowHeight="15" x14ac:dyDescent="0.25"/>
  <cols>
    <col min="2" max="2" width="40.42578125" customWidth="1"/>
    <col min="3" max="3" width="12.85546875" customWidth="1"/>
    <col min="4" max="4" width="14" customWidth="1"/>
    <col min="5" max="5" width="12.85546875" customWidth="1"/>
    <col min="6" max="7" width="12.5703125" bestFit="1" customWidth="1"/>
    <col min="8" max="8" width="13.5703125" bestFit="1" customWidth="1"/>
    <col min="9" max="9" width="14.42578125" customWidth="1"/>
    <col min="10" max="10" width="11.5703125" bestFit="1" customWidth="1"/>
    <col min="11" max="11" width="13.85546875" customWidth="1"/>
    <col min="12" max="12" width="12.140625" customWidth="1"/>
    <col min="13" max="13" width="13.85546875" customWidth="1"/>
    <col min="14" max="14" width="12.7109375" customWidth="1"/>
  </cols>
  <sheetData>
    <row r="1" spans="2:20" x14ac:dyDescent="0.25">
      <c r="Q1" s="1654" t="s">
        <v>64</v>
      </c>
      <c r="R1" s="1654"/>
      <c r="S1" s="1654"/>
      <c r="T1" s="1654"/>
    </row>
    <row r="3" spans="2:20" ht="15.75" thickBot="1" x14ac:dyDescent="0.3"/>
    <row r="4" spans="2:20" ht="27.75" thickTop="1" thickBot="1" x14ac:dyDescent="0.3">
      <c r="E4" s="1655" t="s">
        <v>64</v>
      </c>
      <c r="F4" s="1656"/>
      <c r="G4" s="1656"/>
      <c r="H4" s="1656"/>
      <c r="I4" s="1657"/>
    </row>
    <row r="5" spans="2:20" ht="15.75" thickTop="1" x14ac:dyDescent="0.25"/>
    <row r="6" spans="2:20" ht="15.75" thickBot="1" x14ac:dyDescent="0.3">
      <c r="B6" s="5" t="s">
        <v>1024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v>6186.04</v>
      </c>
      <c r="D7" s="88">
        <v>4237.92</v>
      </c>
      <c r="E7" s="88">
        <v>2688.36</v>
      </c>
      <c r="F7" s="88">
        <v>2700.48</v>
      </c>
      <c r="G7" s="88">
        <v>4903.58</v>
      </c>
      <c r="H7" s="88">
        <v>4750.5</v>
      </c>
      <c r="I7" s="88">
        <v>8476.02</v>
      </c>
      <c r="J7" s="88">
        <v>3244</v>
      </c>
      <c r="K7" s="88">
        <v>9582.57</v>
      </c>
      <c r="L7" s="88">
        <v>6083</v>
      </c>
      <c r="M7" s="88">
        <v>3768</v>
      </c>
      <c r="N7" s="88">
        <v>3576</v>
      </c>
    </row>
    <row r="8" spans="2:20" x14ac:dyDescent="0.25">
      <c r="B8" s="1" t="s">
        <v>20</v>
      </c>
      <c r="C8" s="55">
        <v>9000</v>
      </c>
      <c r="D8" s="55">
        <v>9000</v>
      </c>
      <c r="E8" s="55">
        <v>9000</v>
      </c>
      <c r="F8" s="55">
        <v>9000</v>
      </c>
      <c r="G8" s="55">
        <v>9000</v>
      </c>
      <c r="H8" s="55">
        <v>9000</v>
      </c>
      <c r="I8" s="55">
        <v>9000</v>
      </c>
      <c r="J8" s="55">
        <v>9000</v>
      </c>
      <c r="K8" s="55">
        <v>9000</v>
      </c>
      <c r="L8" s="55">
        <v>9000</v>
      </c>
      <c r="M8" s="55">
        <v>9000</v>
      </c>
      <c r="N8" s="55">
        <v>9000</v>
      </c>
    </row>
    <row r="9" spans="2:20" x14ac:dyDescent="0.25">
      <c r="B9" s="8" t="s">
        <v>17</v>
      </c>
      <c r="C9" s="56">
        <f>C8-C7</f>
        <v>2813.96</v>
      </c>
      <c r="D9" s="56">
        <f t="shared" ref="D9:N9" si="0">D8-D7</f>
        <v>4762.08</v>
      </c>
      <c r="E9" s="56">
        <f t="shared" si="0"/>
        <v>6311.6399999999994</v>
      </c>
      <c r="F9" s="56">
        <f t="shared" si="0"/>
        <v>6299.52</v>
      </c>
      <c r="G9" s="56">
        <f t="shared" si="0"/>
        <v>4096.42</v>
      </c>
      <c r="H9" s="56">
        <f t="shared" si="0"/>
        <v>4249.5</v>
      </c>
      <c r="I9" s="56">
        <f t="shared" si="0"/>
        <v>523.97999999999956</v>
      </c>
      <c r="J9" s="56">
        <f t="shared" si="0"/>
        <v>5756</v>
      </c>
      <c r="K9" s="56">
        <f t="shared" si="0"/>
        <v>-582.56999999999971</v>
      </c>
      <c r="L9" s="56">
        <f t="shared" si="0"/>
        <v>2917</v>
      </c>
      <c r="M9" s="56">
        <f t="shared" si="0"/>
        <v>5232</v>
      </c>
      <c r="N9" s="56">
        <f t="shared" si="0"/>
        <v>5424</v>
      </c>
      <c r="Q9" s="1654" t="s">
        <v>65</v>
      </c>
      <c r="R9" s="1654"/>
      <c r="S9" s="1654"/>
      <c r="T9" s="1654"/>
    </row>
    <row r="10" spans="2:20" ht="15.75" thickBot="1" x14ac:dyDescent="0.3"/>
    <row r="11" spans="2:20" ht="27.75" thickTop="1" thickBot="1" x14ac:dyDescent="0.45">
      <c r="E11" s="1658" t="s">
        <v>65</v>
      </c>
      <c r="F11" s="1659"/>
      <c r="G11" s="1659"/>
      <c r="H11" s="1659"/>
      <c r="I11" s="1660"/>
    </row>
    <row r="12" spans="2:20" ht="15.75" thickTop="1" x14ac:dyDescent="0.25"/>
    <row r="13" spans="2:20" ht="15.75" thickBot="1" x14ac:dyDescent="0.3">
      <c r="B13" s="20" t="s">
        <v>1025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3">
        <f>DATOS!C$47</f>
        <v>0</v>
      </c>
      <c r="D14" s="543">
        <f>DATOS!E$47</f>
        <v>0</v>
      </c>
      <c r="E14" s="543">
        <f>DATOS!G$47</f>
        <v>0</v>
      </c>
      <c r="F14" s="543">
        <f>DATOS!I$47</f>
        <v>0</v>
      </c>
      <c r="G14" s="543">
        <f>DATOS!K$47</f>
        <v>0</v>
      </c>
      <c r="H14" s="543">
        <f>DATOS!M$47</f>
        <v>0</v>
      </c>
      <c r="I14" s="543">
        <f>DATOS!O$47</f>
        <v>0</v>
      </c>
      <c r="J14" s="543">
        <f>DATOS!Q$47</f>
        <v>0</v>
      </c>
      <c r="K14" s="543">
        <f>DATOS!S$47</f>
        <v>0</v>
      </c>
      <c r="L14" s="543">
        <v>0</v>
      </c>
      <c r="M14" s="543">
        <f>DATOS!W$47</f>
        <v>0</v>
      </c>
      <c r="N14" s="543">
        <f>DATOS!Y$47</f>
        <v>0</v>
      </c>
      <c r="R14" s="1654" t="s">
        <v>30</v>
      </c>
      <c r="S14" s="1654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0" ht="15.75" thickBot="1" x14ac:dyDescent="0.3">
      <c r="Q17" s="1654" t="s">
        <v>66</v>
      </c>
      <c r="R17" s="1654"/>
      <c r="S17" s="1654"/>
      <c r="T17" s="1654"/>
    </row>
    <row r="18" spans="2:20" ht="27.75" thickTop="1" thickBot="1" x14ac:dyDescent="0.45">
      <c r="E18" s="1658" t="s">
        <v>1015</v>
      </c>
      <c r="F18" s="1659"/>
      <c r="G18" s="1659"/>
      <c r="H18" s="1659"/>
      <c r="I18" s="1660"/>
    </row>
    <row r="19" spans="2:20" ht="15.75" thickTop="1" x14ac:dyDescent="0.25"/>
    <row r="20" spans="2:20" ht="15.75" thickBot="1" x14ac:dyDescent="0.3">
      <c r="B20" s="20" t="s">
        <v>1026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0" x14ac:dyDescent="0.25">
      <c r="B21" s="11" t="s">
        <v>67</v>
      </c>
      <c r="C21" s="15">
        <f>DATOS!C$48</f>
        <v>2136</v>
      </c>
      <c r="D21" s="15">
        <f>DATOS!E$48</f>
        <v>3772.81</v>
      </c>
      <c r="E21" s="15">
        <f>DATOS!G$48</f>
        <v>3248.13</v>
      </c>
      <c r="F21" s="15">
        <f>DATOS!I$48</f>
        <v>1575.43</v>
      </c>
      <c r="G21" s="15">
        <f>DATOS!K$48</f>
        <v>1109.96</v>
      </c>
      <c r="H21" s="15">
        <f>DATOS!M$48</f>
        <v>3288.38</v>
      </c>
      <c r="I21" s="15">
        <v>10009.15</v>
      </c>
      <c r="J21" s="15">
        <v>627.41999999999996</v>
      </c>
      <c r="K21" s="15">
        <v>9582.57</v>
      </c>
      <c r="L21" s="15">
        <v>4782.1099999999997</v>
      </c>
      <c r="M21" s="15">
        <v>4511</v>
      </c>
      <c r="N21" s="15">
        <v>2822</v>
      </c>
    </row>
    <row r="22" spans="2:20" x14ac:dyDescent="0.25">
      <c r="B22" s="71" t="s">
        <v>63</v>
      </c>
      <c r="C22" s="377">
        <f>DATOS!C$3</f>
        <v>238460.23</v>
      </c>
      <c r="D22" s="377">
        <f>DATOS!E$3</f>
        <v>215170.18</v>
      </c>
      <c r="E22" s="377">
        <f>DATOS!G$3</f>
        <v>249933.64</v>
      </c>
      <c r="F22" s="377">
        <f>DATOS!I$3</f>
        <v>213930.04</v>
      </c>
      <c r="G22" s="377">
        <f>DATOS!K$3</f>
        <v>249029.69</v>
      </c>
      <c r="H22" s="377">
        <f>DATOS!M$3</f>
        <v>300128.49</v>
      </c>
      <c r="I22" s="377">
        <f>DATOS!O$3</f>
        <v>329301.73</v>
      </c>
      <c r="J22" s="377">
        <f>DATOS!Q$3</f>
        <v>60396.19</v>
      </c>
      <c r="K22" s="377">
        <f>DATOS!S$3</f>
        <v>285699.76</v>
      </c>
      <c r="L22" s="377">
        <f>DATOS!U$3</f>
        <v>273689.55</v>
      </c>
      <c r="M22" s="377">
        <f>DATOS!W$3</f>
        <v>249051.41</v>
      </c>
      <c r="N22" s="377">
        <f>DATOS!Y$3</f>
        <v>113243.67</v>
      </c>
    </row>
    <row r="23" spans="2:20" x14ac:dyDescent="0.25">
      <c r="B23" s="1" t="s">
        <v>72</v>
      </c>
      <c r="C23" s="366">
        <f>($C$21/$C$22)</f>
        <v>8.957468505335249E-3</v>
      </c>
      <c r="D23" s="366">
        <f t="shared" ref="D23:N23" si="2">(D21/D22)</f>
        <v>1.7534074656627607E-2</v>
      </c>
      <c r="E23" s="366">
        <f t="shared" si="2"/>
        <v>1.2995969650183944E-2</v>
      </c>
      <c r="F23" s="366">
        <f t="shared" si="2"/>
        <v>7.3642299136671037E-3</v>
      </c>
      <c r="G23" s="366">
        <f t="shared" si="2"/>
        <v>4.45713922705361E-3</v>
      </c>
      <c r="H23" s="366">
        <f t="shared" si="2"/>
        <v>1.0956573966037013E-2</v>
      </c>
      <c r="I23" s="366">
        <f t="shared" si="2"/>
        <v>3.0395072628376416E-2</v>
      </c>
      <c r="J23" s="366">
        <f t="shared" si="2"/>
        <v>1.0388403639368641E-2</v>
      </c>
      <c r="K23" s="366">
        <f t="shared" si="2"/>
        <v>3.354070020919863E-2</v>
      </c>
      <c r="L23" s="366">
        <f t="shared" si="2"/>
        <v>1.7472753344071779E-2</v>
      </c>
      <c r="M23" s="366">
        <f t="shared" si="2"/>
        <v>1.8112726203798644E-2</v>
      </c>
      <c r="N23" s="366">
        <f t="shared" si="2"/>
        <v>2.4919715159355045E-2</v>
      </c>
    </row>
    <row r="24" spans="2:20" ht="18.75" x14ac:dyDescent="0.3">
      <c r="B24" s="77" t="s">
        <v>27</v>
      </c>
      <c r="C24" s="366">
        <f>C21/C22</f>
        <v>8.957468505335249E-3</v>
      </c>
      <c r="D24" s="366">
        <f>D21/D22</f>
        <v>1.7534074656627607E-2</v>
      </c>
      <c r="E24" s="366">
        <f t="shared" ref="E24:N24" si="3">E21/E22</f>
        <v>1.2995969650183944E-2</v>
      </c>
      <c r="F24" s="366">
        <f t="shared" si="3"/>
        <v>7.3642299136671037E-3</v>
      </c>
      <c r="G24" s="366">
        <f t="shared" si="3"/>
        <v>4.45713922705361E-3</v>
      </c>
      <c r="H24" s="366">
        <f t="shared" si="3"/>
        <v>1.0956573966037013E-2</v>
      </c>
      <c r="I24" s="366">
        <f t="shared" si="3"/>
        <v>3.0395072628376416E-2</v>
      </c>
      <c r="J24" s="366">
        <f t="shared" si="3"/>
        <v>1.0388403639368641E-2</v>
      </c>
      <c r="K24" s="366">
        <f t="shared" si="3"/>
        <v>3.354070020919863E-2</v>
      </c>
      <c r="L24" s="366">
        <f t="shared" si="3"/>
        <v>1.7472753344071779E-2</v>
      </c>
      <c r="M24" s="366">
        <f t="shared" si="3"/>
        <v>1.8112726203798644E-2</v>
      </c>
      <c r="N24" s="366">
        <f t="shared" si="3"/>
        <v>2.4919715159355045E-2</v>
      </c>
    </row>
    <row r="25" spans="2:20" x14ac:dyDescent="0.25">
      <c r="B25" s="1" t="s">
        <v>20</v>
      </c>
      <c r="C25" s="686">
        <v>0.02</v>
      </c>
      <c r="D25" s="686">
        <v>0.02</v>
      </c>
      <c r="E25" s="686">
        <v>0.02</v>
      </c>
      <c r="F25" s="686">
        <v>0.02</v>
      </c>
      <c r="G25" s="686">
        <v>0.02</v>
      </c>
      <c r="H25" s="686">
        <v>0.02</v>
      </c>
      <c r="I25" s="686">
        <v>0.02</v>
      </c>
      <c r="J25" s="686">
        <v>0.02</v>
      </c>
      <c r="K25" s="686">
        <v>0.02</v>
      </c>
      <c r="L25" s="686">
        <v>0.02</v>
      </c>
      <c r="M25" s="686">
        <v>0.02</v>
      </c>
      <c r="N25" s="686">
        <v>0.02</v>
      </c>
    </row>
    <row r="26" spans="2:20" x14ac:dyDescent="0.25">
      <c r="B26" s="1" t="s">
        <v>17</v>
      </c>
      <c r="C26" s="369">
        <f t="shared" ref="C26:D26" si="4">C25-C24</f>
        <v>1.1042531494664751E-2</v>
      </c>
      <c r="D26" s="369">
        <f t="shared" si="4"/>
        <v>2.4659253433723938E-3</v>
      </c>
      <c r="E26" s="369">
        <f>E25-E24</f>
        <v>7.004030349816056E-3</v>
      </c>
      <c r="F26" s="369">
        <f t="shared" ref="F26:N26" si="5">F25-F24</f>
        <v>1.2635770086332897E-2</v>
      </c>
      <c r="G26" s="369">
        <f t="shared" si="5"/>
        <v>1.554286077294639E-2</v>
      </c>
      <c r="H26" s="369">
        <f t="shared" si="5"/>
        <v>9.0434260339629872E-3</v>
      </c>
      <c r="I26" s="369">
        <f t="shared" si="5"/>
        <v>-1.0395072628376415E-2</v>
      </c>
      <c r="J26" s="369">
        <f t="shared" si="5"/>
        <v>9.6115963606313599E-3</v>
      </c>
      <c r="K26" s="369">
        <f t="shared" si="5"/>
        <v>-1.354070020919863E-2</v>
      </c>
      <c r="L26" s="369">
        <f t="shared" si="5"/>
        <v>2.5272466559282218E-3</v>
      </c>
      <c r="M26" s="369">
        <f t="shared" si="5"/>
        <v>1.8872737962013567E-3</v>
      </c>
      <c r="N26" s="369">
        <f t="shared" si="5"/>
        <v>-4.9197151593550446E-3</v>
      </c>
    </row>
    <row r="27" spans="2:20" ht="15.75" thickBot="1" x14ac:dyDescent="0.3">
      <c r="Q27" s="1654" t="s">
        <v>25</v>
      </c>
      <c r="R27" s="1654"/>
      <c r="S27" s="1654"/>
      <c r="T27" s="1654"/>
    </row>
    <row r="28" spans="2:20" ht="27.75" thickTop="1" thickBot="1" x14ac:dyDescent="0.45">
      <c r="E28" s="1658" t="s">
        <v>1016</v>
      </c>
      <c r="F28" s="1659"/>
      <c r="G28" s="1659"/>
      <c r="H28" s="1659"/>
      <c r="I28" s="1660"/>
    </row>
    <row r="29" spans="2:20" ht="15.75" thickTop="1" x14ac:dyDescent="0.25"/>
    <row r="30" spans="2:20" ht="15.75" thickBot="1" x14ac:dyDescent="0.3">
      <c r="B30" s="20" t="s">
        <v>1026</v>
      </c>
      <c r="C30" s="21" t="s">
        <v>0</v>
      </c>
      <c r="D30" s="21" t="s">
        <v>1</v>
      </c>
      <c r="E30" s="21" t="s">
        <v>2</v>
      </c>
      <c r="F30" s="21" t="s">
        <v>3</v>
      </c>
      <c r="G30" s="21" t="s">
        <v>4</v>
      </c>
      <c r="H30" s="21" t="s">
        <v>5</v>
      </c>
      <c r="I30" s="21" t="s">
        <v>6</v>
      </c>
      <c r="J30" s="21" t="s">
        <v>7</v>
      </c>
      <c r="K30" s="21" t="s">
        <v>8</v>
      </c>
      <c r="L30" s="21" t="s">
        <v>9</v>
      </c>
      <c r="M30" s="21" t="s">
        <v>10</v>
      </c>
      <c r="N30" s="22" t="s">
        <v>11</v>
      </c>
      <c r="P30" s="1665" t="s">
        <v>1016</v>
      </c>
      <c r="Q30" s="1665"/>
      <c r="R30" s="1665"/>
      <c r="S30" s="1665"/>
      <c r="T30" s="1665"/>
    </row>
    <row r="31" spans="2:20" x14ac:dyDescent="0.25">
      <c r="B31" s="11" t="s">
        <v>67</v>
      </c>
      <c r="C31" s="15">
        <f>DATOS!C$49</f>
        <v>0</v>
      </c>
      <c r="D31" s="15">
        <f>DATOS!E$49</f>
        <v>0</v>
      </c>
      <c r="E31" s="15">
        <f>DATOS!G$49</f>
        <v>0</v>
      </c>
      <c r="F31" s="15">
        <f>DATOS!I$49</f>
        <v>0</v>
      </c>
      <c r="G31" s="15">
        <f>DATOS!K$49</f>
        <v>0</v>
      </c>
      <c r="H31" s="15">
        <v>0</v>
      </c>
      <c r="I31" s="15">
        <v>0</v>
      </c>
      <c r="J31" s="15">
        <v>0</v>
      </c>
      <c r="K31" s="15">
        <v>28.98</v>
      </c>
      <c r="L31" s="15">
        <v>0</v>
      </c>
      <c r="M31" s="15"/>
      <c r="N31" s="15"/>
    </row>
    <row r="32" spans="2:20" x14ac:dyDescent="0.25">
      <c r="B32" s="71" t="s">
        <v>63</v>
      </c>
      <c r="C32" s="377">
        <f>DATOS!C$3</f>
        <v>238460.23</v>
      </c>
      <c r="D32" s="377">
        <f>DATOS!E$3</f>
        <v>215170.18</v>
      </c>
      <c r="E32" s="377">
        <f>DATOS!G$3</f>
        <v>249933.64</v>
      </c>
      <c r="F32" s="377">
        <f>DATOS!I$3</f>
        <v>213930.04</v>
      </c>
      <c r="G32" s="377">
        <f>DATOS!K$3</f>
        <v>249029.69</v>
      </c>
      <c r="H32" s="377">
        <f>DATOS!M$3</f>
        <v>300128.49</v>
      </c>
      <c r="I32" s="377">
        <f>DATOS!O$3</f>
        <v>329301.73</v>
      </c>
      <c r="J32" s="377">
        <f>DATOS!Q$3</f>
        <v>60396.19</v>
      </c>
      <c r="K32" s="377">
        <f>DATOS!S$3</f>
        <v>285699.76</v>
      </c>
      <c r="L32" s="377">
        <f>DATOS!U$3</f>
        <v>273689.55</v>
      </c>
      <c r="M32" s="377">
        <f>DATOS!W$3</f>
        <v>249051.41</v>
      </c>
      <c r="N32" s="377">
        <f>DATOS!Y$3</f>
        <v>113243.67</v>
      </c>
    </row>
    <row r="33" spans="2:22" x14ac:dyDescent="0.25">
      <c r="B33" s="1" t="s">
        <v>72</v>
      </c>
      <c r="C33" s="366">
        <f t="shared" ref="C33:N33" si="6">C31/C32</f>
        <v>0</v>
      </c>
      <c r="D33" s="366">
        <f t="shared" si="6"/>
        <v>0</v>
      </c>
      <c r="E33" s="366">
        <f t="shared" si="6"/>
        <v>0</v>
      </c>
      <c r="F33" s="366">
        <f t="shared" si="6"/>
        <v>0</v>
      </c>
      <c r="G33" s="366">
        <f t="shared" si="6"/>
        <v>0</v>
      </c>
      <c r="H33" s="366">
        <f t="shared" si="6"/>
        <v>0</v>
      </c>
      <c r="I33" s="366">
        <f t="shared" si="6"/>
        <v>0</v>
      </c>
      <c r="J33" s="366">
        <f t="shared" si="6"/>
        <v>0</v>
      </c>
      <c r="K33" s="366">
        <f t="shared" si="6"/>
        <v>1.0143515696338002E-4</v>
      </c>
      <c r="L33" s="366">
        <f t="shared" si="6"/>
        <v>0</v>
      </c>
      <c r="M33" s="366">
        <f t="shared" si="6"/>
        <v>0</v>
      </c>
      <c r="N33" s="366">
        <f t="shared" si="6"/>
        <v>0</v>
      </c>
    </row>
    <row r="34" spans="2:22" ht="18.75" x14ac:dyDescent="0.3">
      <c r="B34" s="77" t="s">
        <v>27</v>
      </c>
      <c r="C34" s="1432">
        <f>C31/C32</f>
        <v>0</v>
      </c>
      <c r="D34" s="1432">
        <f t="shared" ref="D34:N34" si="7">D31/D32</f>
        <v>0</v>
      </c>
      <c r="E34" s="1432">
        <f t="shared" si="7"/>
        <v>0</v>
      </c>
      <c r="F34" s="1432">
        <f t="shared" si="7"/>
        <v>0</v>
      </c>
      <c r="G34" s="1432">
        <f t="shared" si="7"/>
        <v>0</v>
      </c>
      <c r="H34" s="1432">
        <f t="shared" si="7"/>
        <v>0</v>
      </c>
      <c r="I34" s="1432">
        <f t="shared" si="7"/>
        <v>0</v>
      </c>
      <c r="J34" s="1432">
        <f t="shared" si="7"/>
        <v>0</v>
      </c>
      <c r="K34" s="1454">
        <f t="shared" si="7"/>
        <v>1.0143515696338002E-4</v>
      </c>
      <c r="L34" s="1432">
        <f t="shared" si="7"/>
        <v>0</v>
      </c>
      <c r="M34" s="1432">
        <f t="shared" si="7"/>
        <v>0</v>
      </c>
      <c r="N34" s="1432">
        <f t="shared" si="7"/>
        <v>0</v>
      </c>
    </row>
    <row r="35" spans="2:22" x14ac:dyDescent="0.25">
      <c r="B35" s="1" t="s">
        <v>20</v>
      </c>
      <c r="C35" s="369">
        <v>2.5000000000000001E-3</v>
      </c>
      <c r="D35" s="369">
        <v>2.5000000000000001E-3</v>
      </c>
      <c r="E35" s="369">
        <v>2.5000000000000001E-3</v>
      </c>
      <c r="F35" s="369">
        <v>2.5000000000000001E-3</v>
      </c>
      <c r="G35" s="369">
        <v>2.5000000000000001E-3</v>
      </c>
      <c r="H35" s="369">
        <v>2.5000000000000001E-3</v>
      </c>
      <c r="I35" s="369">
        <v>2.5000000000000001E-3</v>
      </c>
      <c r="J35" s="369">
        <v>2.5000000000000001E-3</v>
      </c>
      <c r="K35" s="369">
        <v>2.5000000000000001E-3</v>
      </c>
      <c r="L35" s="369">
        <v>2.5000000000000001E-3</v>
      </c>
      <c r="M35" s="369">
        <v>2.5000000000000001E-3</v>
      </c>
      <c r="N35" s="369">
        <v>2.5000000000000001E-3</v>
      </c>
    </row>
    <row r="36" spans="2:22" x14ac:dyDescent="0.25">
      <c r="B36" s="1" t="s">
        <v>17</v>
      </c>
      <c r="C36" s="369">
        <f t="shared" ref="C36:D36" si="8">C35-C34</f>
        <v>2.5000000000000001E-3</v>
      </c>
      <c r="D36" s="369">
        <f t="shared" si="8"/>
        <v>2.5000000000000001E-3</v>
      </c>
      <c r="E36" s="369">
        <f>E35-E34</f>
        <v>2.5000000000000001E-3</v>
      </c>
      <c r="F36" s="369">
        <f t="shared" ref="F36:N36" si="9">F35-F34</f>
        <v>2.5000000000000001E-3</v>
      </c>
      <c r="G36" s="369">
        <f t="shared" si="9"/>
        <v>2.5000000000000001E-3</v>
      </c>
      <c r="H36" s="369">
        <f t="shared" si="9"/>
        <v>2.5000000000000001E-3</v>
      </c>
      <c r="I36" s="369">
        <f t="shared" si="9"/>
        <v>2.5000000000000001E-3</v>
      </c>
      <c r="J36" s="369">
        <f t="shared" si="9"/>
        <v>2.5000000000000001E-3</v>
      </c>
      <c r="K36" s="369">
        <f t="shared" si="9"/>
        <v>2.3985648430366198E-3</v>
      </c>
      <c r="L36" s="369">
        <f t="shared" si="9"/>
        <v>2.5000000000000001E-3</v>
      </c>
      <c r="M36" s="369">
        <f t="shared" si="9"/>
        <v>2.5000000000000001E-3</v>
      </c>
      <c r="N36" s="369">
        <f t="shared" si="9"/>
        <v>2.5000000000000001E-3</v>
      </c>
    </row>
    <row r="37" spans="2:22" x14ac:dyDescent="0.25">
      <c r="B37" s="45"/>
      <c r="C37" s="517"/>
      <c r="D37" s="517"/>
      <c r="E37" s="517"/>
      <c r="F37" s="517"/>
      <c r="G37" s="517"/>
      <c r="H37" s="517"/>
      <c r="I37" s="517"/>
      <c r="J37" s="517"/>
      <c r="K37" s="517"/>
      <c r="L37" s="517"/>
      <c r="M37" s="517"/>
      <c r="N37" s="517"/>
    </row>
    <row r="38" spans="2:22" x14ac:dyDescent="0.25">
      <c r="B38" s="45"/>
      <c r="C38" s="517"/>
      <c r="D38" s="517"/>
      <c r="E38" s="517"/>
      <c r="F38" s="517"/>
      <c r="G38" s="517"/>
      <c r="H38" s="517"/>
      <c r="I38" s="517"/>
      <c r="J38" s="517"/>
      <c r="K38" s="517"/>
      <c r="L38" s="517"/>
      <c r="M38" s="517"/>
      <c r="N38" s="517"/>
    </row>
    <row r="39" spans="2:22" x14ac:dyDescent="0.25">
      <c r="B39" s="45"/>
      <c r="C39" s="517"/>
      <c r="D39" s="517"/>
      <c r="E39" s="517"/>
      <c r="F39" s="517"/>
      <c r="G39" s="517"/>
      <c r="H39" s="517"/>
      <c r="I39" s="517"/>
      <c r="J39" s="517"/>
      <c r="K39" s="517"/>
      <c r="L39" s="517"/>
      <c r="M39" s="517"/>
      <c r="N39" s="517"/>
    </row>
    <row r="40" spans="2:22" x14ac:dyDescent="0.25">
      <c r="B40" s="45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7"/>
      <c r="N40" s="517"/>
    </row>
    <row r="41" spans="2:22" x14ac:dyDescent="0.25">
      <c r="B41" s="45"/>
      <c r="C41" s="517"/>
      <c r="D41" s="517"/>
      <c r="E41" s="517"/>
      <c r="F41" s="517"/>
      <c r="G41" s="517"/>
      <c r="H41" s="517"/>
      <c r="I41" s="517"/>
      <c r="J41" s="517"/>
      <c r="K41" s="517"/>
      <c r="L41" s="517"/>
      <c r="M41" s="517"/>
      <c r="N41" s="517"/>
    </row>
    <row r="42" spans="2:22" x14ac:dyDescent="0.25">
      <c r="B42" s="45"/>
      <c r="C42" s="517"/>
      <c r="D42" s="517"/>
      <c r="E42" s="517"/>
      <c r="F42" s="517"/>
      <c r="G42" s="517"/>
      <c r="H42" s="517"/>
      <c r="I42" s="517"/>
      <c r="J42" s="517"/>
      <c r="K42" s="517"/>
      <c r="L42" s="517"/>
      <c r="M42" s="517"/>
      <c r="N42" s="517"/>
    </row>
    <row r="43" spans="2:22" ht="15.75" thickBot="1" x14ac:dyDescent="0.3">
      <c r="B43" s="45"/>
      <c r="C43" s="1431"/>
      <c r="D43" s="1431"/>
      <c r="E43" s="517"/>
      <c r="F43" s="1431"/>
      <c r="G43" s="1431"/>
      <c r="H43" s="517"/>
      <c r="I43" s="1431"/>
      <c r="J43" s="1431"/>
      <c r="K43" s="517"/>
      <c r="L43" s="1431"/>
      <c r="M43" s="1431"/>
      <c r="N43" s="517"/>
    </row>
    <row r="44" spans="2:22" ht="33.75" customHeight="1" thickTop="1" thickBot="1" x14ac:dyDescent="0.45">
      <c r="B44" s="1658" t="s">
        <v>68</v>
      </c>
      <c r="C44" s="1682"/>
      <c r="D44" s="1682"/>
      <c r="E44" s="1682"/>
      <c r="F44" s="1682"/>
      <c r="G44" s="1682"/>
      <c r="H44" s="1682"/>
      <c r="I44" s="1682"/>
      <c r="J44" s="1682"/>
      <c r="K44" s="1682"/>
      <c r="L44" s="1682"/>
      <c r="M44" s="1682"/>
      <c r="N44" s="1683"/>
      <c r="P44" s="1668" t="s">
        <v>68</v>
      </c>
      <c r="Q44" s="1668"/>
      <c r="R44" s="1668"/>
      <c r="S44" s="1668"/>
      <c r="T44" s="1668"/>
      <c r="U44" s="1668"/>
      <c r="V44" s="1669"/>
    </row>
    <row r="45" spans="2:22" ht="15.75" thickTop="1" x14ac:dyDescent="0.25"/>
    <row r="46" spans="2:22" ht="30" customHeight="1" thickBot="1" x14ac:dyDescent="0.3">
      <c r="B46" s="523" t="s">
        <v>1027</v>
      </c>
      <c r="C46" s="504" t="s">
        <v>0</v>
      </c>
      <c r="D46" s="504" t="s">
        <v>1</v>
      </c>
      <c r="E46" s="504" t="s">
        <v>2</v>
      </c>
      <c r="F46" s="504" t="s">
        <v>3</v>
      </c>
      <c r="G46" s="504" t="s">
        <v>4</v>
      </c>
      <c r="H46" s="504" t="s">
        <v>5</v>
      </c>
      <c r="I46" s="504" t="s">
        <v>6</v>
      </c>
      <c r="J46" s="504" t="s">
        <v>7</v>
      </c>
      <c r="K46" s="504" t="s">
        <v>8</v>
      </c>
      <c r="L46" s="504" t="s">
        <v>9</v>
      </c>
      <c r="M46" s="504" t="s">
        <v>10</v>
      </c>
      <c r="N46" s="505" t="s">
        <v>11</v>
      </c>
    </row>
    <row r="47" spans="2:22" x14ac:dyDescent="0.25">
      <c r="B47" s="11" t="s">
        <v>69</v>
      </c>
      <c r="C47" s="15">
        <f>DATOS!C$50</f>
        <v>0</v>
      </c>
      <c r="D47" s="15">
        <f>DATOS!E$50</f>
        <v>0</v>
      </c>
      <c r="E47" s="15">
        <f>DATOS!G$50</f>
        <v>0</v>
      </c>
      <c r="F47" s="15">
        <f>DATOS!I$50</f>
        <v>0</v>
      </c>
      <c r="G47" s="15">
        <f>DATOS!K$50</f>
        <v>0</v>
      </c>
      <c r="H47" s="15">
        <f>DATOS!M$50</f>
        <v>0</v>
      </c>
      <c r="I47" s="15">
        <f>DATOS!O$50</f>
        <v>0</v>
      </c>
      <c r="J47" s="15">
        <f>DATOS!Q$50</f>
        <v>0</v>
      </c>
      <c r="K47" s="15">
        <f>DATOS!S$50</f>
        <v>0</v>
      </c>
      <c r="L47" s="15">
        <f>DATOS!U$50</f>
        <v>0</v>
      </c>
      <c r="M47" s="15">
        <f>DATOS!W$50</f>
        <v>0</v>
      </c>
      <c r="N47" s="15">
        <f>DATOS!Y$50</f>
        <v>0</v>
      </c>
    </row>
    <row r="48" spans="2:22" ht="18.75" x14ac:dyDescent="0.3">
      <c r="B48" s="77" t="s">
        <v>27</v>
      </c>
      <c r="C48" s="82"/>
      <c r="D48" s="82"/>
      <c r="E48" s="82"/>
      <c r="F48" s="82"/>
      <c r="G48" s="82"/>
      <c r="H48" s="82">
        <f>C47+D47+E47+F47+G47+H47</f>
        <v>0</v>
      </c>
      <c r="I48" s="82"/>
      <c r="J48" s="82"/>
      <c r="K48" s="82"/>
      <c r="L48" s="82"/>
      <c r="M48" s="82"/>
      <c r="N48" s="82">
        <f>I47+J47+K47+L47+M47+N47</f>
        <v>0</v>
      </c>
    </row>
    <row r="49" spans="2:22" x14ac:dyDescent="0.25">
      <c r="B49" s="1" t="s">
        <v>20</v>
      </c>
      <c r="C49" s="18"/>
      <c r="D49" s="18"/>
      <c r="E49" s="18"/>
      <c r="F49" s="18"/>
      <c r="G49" s="18"/>
      <c r="H49" s="18">
        <v>1</v>
      </c>
      <c r="I49" s="18"/>
      <c r="J49" s="18"/>
      <c r="K49" s="18"/>
      <c r="L49" s="18"/>
      <c r="M49" s="18"/>
      <c r="N49" s="18">
        <v>1</v>
      </c>
    </row>
    <row r="50" spans="2:22" x14ac:dyDescent="0.25">
      <c r="B50" s="8" t="s">
        <v>17</v>
      </c>
      <c r="C50" s="19"/>
      <c r="D50" s="19"/>
      <c r="E50" s="19"/>
      <c r="F50" s="19"/>
      <c r="G50" s="23"/>
      <c r="H50" s="19">
        <f>H49-H48</f>
        <v>1</v>
      </c>
      <c r="I50" s="23"/>
      <c r="J50" s="19"/>
      <c r="K50" s="57"/>
      <c r="L50" s="19"/>
      <c r="M50" s="19"/>
      <c r="N50" s="19">
        <f>N49-N48</f>
        <v>1</v>
      </c>
    </row>
    <row r="51" spans="2:22" ht="15.75" thickBot="1" x14ac:dyDescent="0.3"/>
    <row r="52" spans="2:22" ht="27.75" thickTop="1" thickBot="1" x14ac:dyDescent="0.45">
      <c r="C52" s="1658" t="s">
        <v>1050</v>
      </c>
      <c r="D52" s="1659"/>
      <c r="E52" s="1659"/>
      <c r="F52" s="1659"/>
      <c r="G52" s="1659"/>
      <c r="H52" s="1659"/>
      <c r="I52" s="1659"/>
      <c r="J52" s="1659"/>
      <c r="K52" s="1660"/>
      <c r="R52" s="1654" t="s">
        <v>28</v>
      </c>
      <c r="S52" s="1664"/>
    </row>
    <row r="53" spans="2:22" ht="15.75" thickTop="1" x14ac:dyDescent="0.25"/>
    <row r="54" spans="2:22" ht="30.75" customHeight="1" x14ac:dyDescent="0.25">
      <c r="B54" s="522" t="s">
        <v>1028</v>
      </c>
      <c r="C54" s="520" t="s">
        <v>0</v>
      </c>
      <c r="D54" s="520" t="s">
        <v>1</v>
      </c>
      <c r="E54" s="520" t="s">
        <v>2</v>
      </c>
      <c r="F54" s="520" t="s">
        <v>3</v>
      </c>
      <c r="G54" s="520" t="s">
        <v>4</v>
      </c>
      <c r="H54" s="520" t="s">
        <v>5</v>
      </c>
      <c r="I54" s="520" t="s">
        <v>6</v>
      </c>
      <c r="J54" s="520" t="s">
        <v>7</v>
      </c>
      <c r="K54" s="520" t="s">
        <v>8</v>
      </c>
      <c r="L54" s="520" t="s">
        <v>9</v>
      </c>
      <c r="M54" s="520" t="s">
        <v>10</v>
      </c>
      <c r="N54" s="521" t="s">
        <v>11</v>
      </c>
      <c r="P54" s="1654" t="s">
        <v>1052</v>
      </c>
      <c r="Q54" s="1654"/>
      <c r="R54" s="1654"/>
      <c r="S54" s="1654"/>
      <c r="T54" s="1654"/>
      <c r="U54" s="1654"/>
      <c r="V54" s="1654"/>
    </row>
    <row r="55" spans="2:22" x14ac:dyDescent="0.25">
      <c r="B55" s="12" t="s">
        <v>79</v>
      </c>
      <c r="C55" s="68">
        <v>8</v>
      </c>
      <c r="D55" s="68">
        <v>9</v>
      </c>
      <c r="E55" s="68">
        <v>26</v>
      </c>
      <c r="F55" s="68">
        <v>14</v>
      </c>
      <c r="G55" s="68">
        <v>18</v>
      </c>
      <c r="H55" s="68">
        <v>0</v>
      </c>
      <c r="I55" s="68">
        <v>0</v>
      </c>
      <c r="J55" s="68">
        <v>0</v>
      </c>
      <c r="K55" s="68">
        <v>1</v>
      </c>
      <c r="L55" s="68">
        <v>0</v>
      </c>
      <c r="M55" s="68">
        <v>0</v>
      </c>
      <c r="N55" s="68">
        <v>0</v>
      </c>
      <c r="P55" s="63"/>
      <c r="Q55" s="63"/>
      <c r="R55" s="63"/>
      <c r="S55" s="63"/>
      <c r="T55" s="63"/>
      <c r="U55" s="63"/>
      <c r="V55" s="63"/>
    </row>
    <row r="56" spans="2:22" x14ac:dyDescent="0.25">
      <c r="B56" s="1" t="s">
        <v>80</v>
      </c>
      <c r="C56" s="68">
        <v>128</v>
      </c>
      <c r="D56" s="68">
        <v>128</v>
      </c>
      <c r="E56" s="68">
        <v>128</v>
      </c>
      <c r="F56" s="68">
        <v>128</v>
      </c>
      <c r="G56" s="68">
        <v>128</v>
      </c>
      <c r="H56" s="68">
        <v>128</v>
      </c>
      <c r="I56" s="68">
        <v>128</v>
      </c>
      <c r="J56" s="68">
        <v>128</v>
      </c>
      <c r="K56" s="68">
        <v>128</v>
      </c>
      <c r="L56" s="68">
        <v>128</v>
      </c>
      <c r="M56" s="68">
        <v>128</v>
      </c>
      <c r="N56" s="68">
        <v>128</v>
      </c>
      <c r="P56" s="63"/>
      <c r="Q56" s="63"/>
      <c r="R56" s="63"/>
      <c r="S56" s="63"/>
      <c r="T56" s="63"/>
      <c r="U56" s="63"/>
      <c r="V56" s="63"/>
    </row>
    <row r="57" spans="2:22" x14ac:dyDescent="0.25">
      <c r="B57" s="1" t="s">
        <v>73</v>
      </c>
      <c r="C57" s="33">
        <f>C55/C56</f>
        <v>6.25E-2</v>
      </c>
      <c r="D57" s="33">
        <f t="shared" ref="D57:G57" si="10">D55/D56</f>
        <v>7.03125E-2</v>
      </c>
      <c r="E57" s="33">
        <f t="shared" si="10"/>
        <v>0.203125</v>
      </c>
      <c r="F57" s="33">
        <f t="shared" si="10"/>
        <v>0.109375</v>
      </c>
      <c r="G57" s="33">
        <f t="shared" si="10"/>
        <v>0.140625</v>
      </c>
      <c r="H57" s="33">
        <f>H55/H56</f>
        <v>0</v>
      </c>
      <c r="I57" s="33">
        <v>0</v>
      </c>
      <c r="J57" s="33">
        <v>0</v>
      </c>
      <c r="K57" s="33">
        <f>K55/K56</f>
        <v>7.8125E-3</v>
      </c>
      <c r="L57" s="33">
        <v>0</v>
      </c>
      <c r="M57" s="33">
        <v>0</v>
      </c>
      <c r="N57" s="33">
        <f>N55/N56</f>
        <v>0</v>
      </c>
    </row>
    <row r="58" spans="2:22" ht="18.75" x14ac:dyDescent="0.3">
      <c r="B58" s="77" t="s">
        <v>27</v>
      </c>
      <c r="C58" s="87">
        <f>C57</f>
        <v>6.25E-2</v>
      </c>
      <c r="D58" s="87">
        <f t="shared" ref="D58:H58" si="11">D57</f>
        <v>7.03125E-2</v>
      </c>
      <c r="E58" s="87">
        <f t="shared" si="11"/>
        <v>0.203125</v>
      </c>
      <c r="F58" s="87">
        <f t="shared" si="11"/>
        <v>0.109375</v>
      </c>
      <c r="G58" s="87">
        <f t="shared" si="11"/>
        <v>0.140625</v>
      </c>
      <c r="H58" s="87">
        <f t="shared" si="11"/>
        <v>0</v>
      </c>
      <c r="I58" s="87">
        <f>I57</f>
        <v>0</v>
      </c>
      <c r="J58" s="87">
        <f>J57</f>
        <v>0</v>
      </c>
      <c r="K58" s="87">
        <f>K57</f>
        <v>7.8125E-3</v>
      </c>
      <c r="L58" s="87">
        <v>0</v>
      </c>
      <c r="M58" s="87">
        <v>0</v>
      </c>
      <c r="N58" s="87">
        <f>N57</f>
        <v>0</v>
      </c>
    </row>
    <row r="59" spans="2:22" x14ac:dyDescent="0.25">
      <c r="B59" s="1" t="s">
        <v>20</v>
      </c>
      <c r="C59" s="18">
        <v>1</v>
      </c>
      <c r="D59" s="18">
        <v>1</v>
      </c>
      <c r="E59" s="18">
        <v>1</v>
      </c>
      <c r="F59" s="18">
        <v>1</v>
      </c>
      <c r="G59" s="18">
        <v>1</v>
      </c>
      <c r="H59" s="18">
        <v>1</v>
      </c>
      <c r="I59" s="18">
        <v>1</v>
      </c>
      <c r="J59" s="18">
        <v>1</v>
      </c>
      <c r="K59" s="18">
        <v>1</v>
      </c>
      <c r="L59" s="18">
        <v>1</v>
      </c>
      <c r="M59" s="18">
        <v>1</v>
      </c>
      <c r="N59" s="18">
        <v>1</v>
      </c>
      <c r="T59" s="25"/>
    </row>
    <row r="60" spans="2:22" x14ac:dyDescent="0.25">
      <c r="B60" s="1" t="s">
        <v>17</v>
      </c>
      <c r="C60" s="36">
        <f t="shared" ref="C60:G60" si="12">C59-C58</f>
        <v>0.9375</v>
      </c>
      <c r="D60" s="36">
        <f t="shared" si="12"/>
        <v>0.9296875</v>
      </c>
      <c r="E60" s="36">
        <f t="shared" si="12"/>
        <v>0.796875</v>
      </c>
      <c r="F60" s="36">
        <f t="shared" si="12"/>
        <v>0.890625</v>
      </c>
      <c r="G60" s="36">
        <f t="shared" si="12"/>
        <v>0.859375</v>
      </c>
      <c r="H60" s="36">
        <f>H59-H58</f>
        <v>1</v>
      </c>
      <c r="I60" s="36">
        <f t="shared" ref="I60:N60" si="13">I59-I58</f>
        <v>1</v>
      </c>
      <c r="J60" s="36">
        <f t="shared" si="13"/>
        <v>1</v>
      </c>
      <c r="K60" s="36">
        <f t="shared" si="13"/>
        <v>0.9921875</v>
      </c>
      <c r="L60" s="36">
        <f t="shared" si="13"/>
        <v>1</v>
      </c>
      <c r="M60" s="36">
        <f t="shared" si="13"/>
        <v>1</v>
      </c>
      <c r="N60" s="36">
        <f t="shared" si="13"/>
        <v>1</v>
      </c>
    </row>
    <row r="61" spans="2:22" ht="15.75" thickBot="1" x14ac:dyDescent="0.3"/>
    <row r="62" spans="2:22" ht="27.75" customHeight="1" thickTop="1" thickBot="1" x14ac:dyDescent="0.45">
      <c r="C62" s="38"/>
      <c r="D62" s="38"/>
      <c r="E62" s="1658" t="s">
        <v>1051</v>
      </c>
      <c r="F62" s="1659"/>
      <c r="G62" s="1659"/>
      <c r="H62" s="1659"/>
      <c r="I62" s="1659"/>
      <c r="J62" s="1660"/>
      <c r="K62" s="38"/>
      <c r="L62" s="50"/>
      <c r="M62" s="50"/>
      <c r="Q62" s="1654" t="s">
        <v>31</v>
      </c>
      <c r="R62" s="1654"/>
      <c r="S62" s="1654"/>
      <c r="T62" s="1654"/>
    </row>
    <row r="63" spans="2:22" ht="15.75" thickTop="1" x14ac:dyDescent="0.25"/>
    <row r="64" spans="2:22" ht="15.75" thickBot="1" x14ac:dyDescent="0.3">
      <c r="B64" s="524" t="s">
        <v>1029</v>
      </c>
      <c r="C64" s="21" t="s">
        <v>0</v>
      </c>
      <c r="D64" s="21" t="s">
        <v>1</v>
      </c>
      <c r="E64" s="21" t="s">
        <v>2</v>
      </c>
      <c r="F64" s="21" t="s">
        <v>3</v>
      </c>
      <c r="G64" s="21" t="s">
        <v>4</v>
      </c>
      <c r="H64" s="21" t="s">
        <v>5</v>
      </c>
      <c r="I64" s="21" t="s">
        <v>6</v>
      </c>
      <c r="J64" s="21" t="s">
        <v>7</v>
      </c>
      <c r="K64" s="21" t="s">
        <v>8</v>
      </c>
      <c r="L64" s="21" t="s">
        <v>9</v>
      </c>
      <c r="M64" s="21" t="s">
        <v>10</v>
      </c>
      <c r="N64" s="22" t="s">
        <v>11</v>
      </c>
      <c r="Q64" s="1654" t="s">
        <v>71</v>
      </c>
      <c r="R64" s="1654"/>
      <c r="S64" s="1654"/>
      <c r="T64" s="1654"/>
      <c r="U64" s="1654"/>
    </row>
    <row r="65" spans="2:21" ht="18.75" x14ac:dyDescent="0.3">
      <c r="B65" s="77" t="s">
        <v>27</v>
      </c>
      <c r="C65" s="83">
        <v>1</v>
      </c>
      <c r="D65" s="83">
        <v>4</v>
      </c>
      <c r="E65" s="83">
        <v>2</v>
      </c>
      <c r="F65" s="83">
        <v>1</v>
      </c>
      <c r="G65" s="83">
        <v>4</v>
      </c>
      <c r="H65" s="83">
        <v>11</v>
      </c>
      <c r="I65" s="83">
        <v>7</v>
      </c>
      <c r="J65" s="83">
        <v>0</v>
      </c>
      <c r="K65" s="83">
        <v>9</v>
      </c>
      <c r="L65" s="83">
        <v>5</v>
      </c>
      <c r="M65" s="83">
        <v>2</v>
      </c>
      <c r="N65" s="83">
        <v>2</v>
      </c>
    </row>
    <row r="66" spans="2:21" x14ac:dyDescent="0.25">
      <c r="B66" s="1" t="s">
        <v>20</v>
      </c>
      <c r="C66" s="13">
        <v>2</v>
      </c>
      <c r="D66" s="13">
        <v>2</v>
      </c>
      <c r="E66" s="13">
        <v>2</v>
      </c>
      <c r="F66" s="13">
        <v>2</v>
      </c>
      <c r="G66" s="13">
        <v>2</v>
      </c>
      <c r="H66" s="13">
        <v>2</v>
      </c>
      <c r="I66" s="13">
        <v>2</v>
      </c>
      <c r="J66" s="13">
        <v>2</v>
      </c>
      <c r="K66" s="13">
        <v>2</v>
      </c>
      <c r="L66" s="13">
        <v>2</v>
      </c>
      <c r="M66" s="13">
        <v>2</v>
      </c>
      <c r="N66" s="13">
        <v>2</v>
      </c>
    </row>
    <row r="67" spans="2:21" x14ac:dyDescent="0.25">
      <c r="B67" s="8" t="s">
        <v>17</v>
      </c>
      <c r="C67" s="26">
        <f>C66-C65</f>
        <v>1</v>
      </c>
      <c r="D67" s="26">
        <f t="shared" ref="D67:N67" si="14">D66-D65</f>
        <v>-2</v>
      </c>
      <c r="E67" s="26">
        <f t="shared" si="14"/>
        <v>0</v>
      </c>
      <c r="F67" s="26">
        <f t="shared" si="14"/>
        <v>1</v>
      </c>
      <c r="G67" s="26">
        <f t="shared" si="14"/>
        <v>-2</v>
      </c>
      <c r="H67" s="26">
        <f t="shared" si="14"/>
        <v>-9</v>
      </c>
      <c r="I67" s="26">
        <f t="shared" si="14"/>
        <v>-5</v>
      </c>
      <c r="J67" s="26">
        <f t="shared" si="14"/>
        <v>2</v>
      </c>
      <c r="K67" s="26">
        <f t="shared" si="14"/>
        <v>-7</v>
      </c>
      <c r="L67" s="26">
        <f t="shared" si="14"/>
        <v>-3</v>
      </c>
      <c r="M67" s="26">
        <f t="shared" si="14"/>
        <v>0</v>
      </c>
      <c r="N67" s="26">
        <f t="shared" si="14"/>
        <v>0</v>
      </c>
    </row>
    <row r="69" spans="2:21" x14ac:dyDescent="0.25"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</row>
    <row r="70" spans="2:21" x14ac:dyDescent="0.25">
      <c r="Q70" s="1654"/>
      <c r="R70" s="1654"/>
      <c r="S70" s="1654"/>
      <c r="T70" s="1654"/>
    </row>
    <row r="71" spans="2:21" x14ac:dyDescent="0.25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2:21" ht="15.75" thickBot="1" x14ac:dyDescent="0.3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Q72" s="1665" t="s">
        <v>386</v>
      </c>
      <c r="R72" s="1665"/>
      <c r="S72" s="1665"/>
      <c r="T72" s="1665"/>
      <c r="U72" s="1665"/>
    </row>
    <row r="73" spans="2:21" ht="27.75" customHeight="1" thickTop="1" thickBot="1" x14ac:dyDescent="0.45">
      <c r="C73" s="38"/>
      <c r="D73" s="38"/>
      <c r="E73" s="1658" t="s">
        <v>366</v>
      </c>
      <c r="F73" s="1659"/>
      <c r="G73" s="1659"/>
      <c r="H73" s="1659"/>
      <c r="I73" s="1659"/>
      <c r="J73" s="1659"/>
      <c r="K73" s="1659"/>
      <c r="L73" s="1660"/>
      <c r="M73" s="50"/>
    </row>
    <row r="74" spans="2:21" ht="16.5" thickTop="1" thickBot="1" x14ac:dyDescent="0.3"/>
    <row r="75" spans="2:21" ht="28.5" customHeight="1" thickTop="1" thickBot="1" x14ac:dyDescent="0.3">
      <c r="B75" s="519" t="s">
        <v>1030</v>
      </c>
      <c r="C75" s="1210" t="s">
        <v>49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1" ht="18.75" x14ac:dyDescent="0.3">
      <c r="B76" s="77" t="s">
        <v>27</v>
      </c>
      <c r="C76" s="374">
        <v>1</v>
      </c>
      <c r="D76" s="514"/>
      <c r="E76" s="514"/>
      <c r="F76" s="514"/>
      <c r="G76" s="514"/>
      <c r="H76" s="514"/>
      <c r="I76" s="514"/>
      <c r="J76" s="514"/>
      <c r="K76" s="514"/>
      <c r="L76" s="514"/>
      <c r="M76" s="514"/>
      <c r="N76" s="514"/>
    </row>
    <row r="77" spans="2:21" x14ac:dyDescent="0.25">
      <c r="B77" s="1" t="s">
        <v>20</v>
      </c>
      <c r="C77" s="512">
        <v>1</v>
      </c>
      <c r="D77" s="515"/>
      <c r="E77" s="515"/>
      <c r="F77" s="515"/>
      <c r="G77" s="515"/>
      <c r="H77" s="515"/>
      <c r="I77" s="515"/>
      <c r="J77" s="515"/>
      <c r="K77" s="515"/>
      <c r="L77" s="515"/>
      <c r="M77" s="515"/>
      <c r="N77" s="515"/>
    </row>
    <row r="78" spans="2:21" x14ac:dyDescent="0.25">
      <c r="B78" s="8" t="s">
        <v>17</v>
      </c>
      <c r="C78" s="513">
        <f>C76-C77</f>
        <v>0</v>
      </c>
      <c r="D78" s="515"/>
      <c r="E78" s="515"/>
      <c r="F78" s="515"/>
      <c r="G78" s="515"/>
      <c r="H78" s="515"/>
      <c r="I78" s="515"/>
      <c r="J78" s="515"/>
      <c r="K78" s="515"/>
      <c r="L78" s="515"/>
      <c r="M78" s="515"/>
      <c r="N78" s="515"/>
    </row>
    <row r="79" spans="2:21" x14ac:dyDescent="0.25">
      <c r="B79" s="45"/>
      <c r="C79" s="517"/>
      <c r="D79" s="515"/>
      <c r="E79" s="515"/>
      <c r="F79" s="515"/>
      <c r="G79" s="515"/>
      <c r="H79" s="515"/>
      <c r="I79" s="515"/>
      <c r="J79" s="515"/>
      <c r="K79" s="515"/>
      <c r="L79" s="515"/>
      <c r="M79" s="515"/>
      <c r="N79" s="515"/>
      <c r="Q79" s="1654"/>
      <c r="R79" s="1654"/>
      <c r="S79" s="1654"/>
      <c r="T79" s="1654"/>
    </row>
    <row r="80" spans="2:21" x14ac:dyDescent="0.25"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</row>
    <row r="81" spans="2:22" x14ac:dyDescent="0.25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</row>
    <row r="82" spans="2:22" x14ac:dyDescent="0.25">
      <c r="B82" s="43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Q82" s="1665" t="s">
        <v>389</v>
      </c>
      <c r="R82" s="1665"/>
      <c r="S82" s="1665"/>
      <c r="T82" s="1665"/>
      <c r="U82" s="1665"/>
      <c r="V82" s="1665"/>
    </row>
    <row r="83" spans="2:22" ht="15.75" thickBot="1" x14ac:dyDescent="0.3">
      <c r="B83" s="45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</row>
    <row r="84" spans="2:22" ht="27.75" thickTop="1" thickBot="1" x14ac:dyDescent="0.45">
      <c r="C84" s="38"/>
      <c r="D84" s="38"/>
      <c r="E84" s="1658" t="s">
        <v>387</v>
      </c>
      <c r="F84" s="1659"/>
      <c r="G84" s="1659"/>
      <c r="H84" s="1659"/>
      <c r="I84" s="1659"/>
      <c r="J84" s="1659"/>
      <c r="K84" s="1659"/>
      <c r="L84" s="1660"/>
      <c r="M84" s="50"/>
    </row>
    <row r="85" spans="2:22" ht="15.75" thickTop="1" x14ac:dyDescent="0.25"/>
    <row r="86" spans="2:22" ht="15.75" thickBot="1" x14ac:dyDescent="0.3">
      <c r="B86" s="519" t="s">
        <v>1031</v>
      </c>
      <c r="C86" s="516" t="s">
        <v>49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2:22" ht="18.75" x14ac:dyDescent="0.3">
      <c r="B87" s="77" t="s">
        <v>27</v>
      </c>
      <c r="C87" s="374">
        <v>0</v>
      </c>
      <c r="D87" s="514"/>
      <c r="E87" s="514"/>
      <c r="F87" s="514"/>
      <c r="G87" s="514"/>
      <c r="H87" s="514"/>
      <c r="I87" s="514"/>
      <c r="J87" s="514"/>
      <c r="K87" s="514"/>
      <c r="L87" s="514"/>
      <c r="M87" s="514"/>
      <c r="N87" s="514"/>
    </row>
    <row r="88" spans="2:22" x14ac:dyDescent="0.25">
      <c r="B88" s="1" t="s">
        <v>20</v>
      </c>
      <c r="C88" s="512">
        <v>0</v>
      </c>
      <c r="D88" s="515"/>
      <c r="E88" s="515"/>
      <c r="F88" s="515"/>
      <c r="G88" s="515"/>
      <c r="H88" s="515"/>
      <c r="I88" s="515"/>
      <c r="J88" s="515"/>
      <c r="K88" s="515"/>
      <c r="L88" s="515"/>
      <c r="M88" s="515"/>
      <c r="N88" s="515"/>
    </row>
    <row r="89" spans="2:22" x14ac:dyDescent="0.25">
      <c r="B89" s="8" t="s">
        <v>17</v>
      </c>
      <c r="C89" s="513">
        <f>C88-C87</f>
        <v>0</v>
      </c>
      <c r="D89" s="515"/>
      <c r="E89" s="515"/>
      <c r="F89" s="515"/>
      <c r="G89" s="515"/>
      <c r="H89" s="515"/>
      <c r="I89" s="515"/>
      <c r="J89" s="515"/>
      <c r="K89" s="515"/>
      <c r="L89" s="515"/>
      <c r="M89" s="515"/>
      <c r="N89" s="515"/>
    </row>
    <row r="92" spans="2:22" x14ac:dyDescent="0.25">
      <c r="Q92" s="1665" t="s">
        <v>388</v>
      </c>
      <c r="R92" s="1665"/>
      <c r="S92" s="1665"/>
      <c r="T92" s="1665"/>
      <c r="U92" s="1665"/>
      <c r="V92" s="1665"/>
    </row>
    <row r="93" spans="2:22" ht="15.75" thickBot="1" x14ac:dyDescent="0.3"/>
    <row r="94" spans="2:22" ht="27.75" thickTop="1" thickBot="1" x14ac:dyDescent="0.45">
      <c r="C94" s="38"/>
      <c r="D94" s="38"/>
      <c r="E94" s="1658" t="s">
        <v>1046</v>
      </c>
      <c r="F94" s="1659"/>
      <c r="G94" s="1659"/>
      <c r="H94" s="1659"/>
      <c r="I94" s="1659"/>
      <c r="J94" s="1659"/>
      <c r="K94" s="1659"/>
      <c r="L94" s="1660"/>
      <c r="M94" s="50"/>
    </row>
    <row r="95" spans="2:22" ht="15.75" thickTop="1" x14ac:dyDescent="0.25"/>
    <row r="96" spans="2:22" ht="15.75" thickBot="1" x14ac:dyDescent="0.3">
      <c r="B96" s="519" t="s">
        <v>1047</v>
      </c>
      <c r="C96" s="516" t="s">
        <v>49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2:22" ht="18.75" x14ac:dyDescent="0.3">
      <c r="B97" s="77" t="s">
        <v>27</v>
      </c>
      <c r="C97" s="374">
        <v>1</v>
      </c>
      <c r="D97" s="514"/>
      <c r="E97" s="514"/>
      <c r="F97" s="514"/>
      <c r="G97" s="514"/>
      <c r="H97" s="514"/>
      <c r="I97" s="514"/>
      <c r="J97" s="514"/>
      <c r="K97" s="514"/>
      <c r="L97" s="514"/>
      <c r="M97" s="514"/>
      <c r="N97" s="514"/>
    </row>
    <row r="98" spans="2:22" x14ac:dyDescent="0.25">
      <c r="B98" s="1" t="s">
        <v>20</v>
      </c>
      <c r="C98" s="512">
        <v>1</v>
      </c>
      <c r="D98" s="515"/>
      <c r="E98" s="515"/>
      <c r="F98" s="515"/>
      <c r="G98" s="515"/>
      <c r="H98" s="515"/>
      <c r="I98" s="515"/>
      <c r="J98" s="515"/>
      <c r="K98" s="515"/>
      <c r="L98" s="515"/>
      <c r="M98" s="515"/>
      <c r="N98" s="515"/>
    </row>
    <row r="99" spans="2:22" x14ac:dyDescent="0.25">
      <c r="B99" s="8" t="s">
        <v>17</v>
      </c>
      <c r="C99" s="513">
        <f>C98-C97</f>
        <v>0</v>
      </c>
      <c r="D99" s="515"/>
      <c r="E99" s="515"/>
      <c r="F99" s="515"/>
      <c r="G99" s="515"/>
      <c r="H99" s="515"/>
      <c r="I99" s="515"/>
      <c r="J99" s="515"/>
      <c r="K99" s="515"/>
      <c r="L99" s="515"/>
      <c r="M99" s="515"/>
      <c r="N99" s="515"/>
    </row>
    <row r="103" spans="2:22" x14ac:dyDescent="0.25">
      <c r="P103" s="1665" t="s">
        <v>392</v>
      </c>
      <c r="Q103" s="1665"/>
      <c r="R103" s="1665"/>
      <c r="S103" s="1665"/>
      <c r="T103" s="1665"/>
      <c r="U103" s="1665"/>
      <c r="V103" s="1665"/>
    </row>
    <row r="104" spans="2:22" ht="27.75" customHeight="1" x14ac:dyDescent="0.4">
      <c r="B104" s="1681" t="s">
        <v>1053</v>
      </c>
      <c r="C104" s="1681"/>
      <c r="D104" s="1681"/>
      <c r="E104" s="1681"/>
      <c r="F104" s="1681"/>
      <c r="G104" s="1681"/>
      <c r="H104" s="1681"/>
      <c r="I104" s="1681"/>
      <c r="J104" s="1681"/>
      <c r="K104" s="1681"/>
      <c r="L104" s="1681"/>
      <c r="M104" s="1681"/>
      <c r="N104" s="1681"/>
    </row>
    <row r="106" spans="2:22" ht="34.5" customHeight="1" thickBot="1" x14ac:dyDescent="0.3">
      <c r="B106" s="523" t="s">
        <v>391</v>
      </c>
      <c r="C106" s="504" t="s">
        <v>0</v>
      </c>
      <c r="D106" s="504" t="s">
        <v>1</v>
      </c>
      <c r="E106" s="504" t="s">
        <v>2</v>
      </c>
      <c r="F106" s="504" t="s">
        <v>3</v>
      </c>
      <c r="G106" s="504" t="s">
        <v>4</v>
      </c>
      <c r="H106" s="504" t="s">
        <v>5</v>
      </c>
      <c r="I106" s="504" t="s">
        <v>6</v>
      </c>
      <c r="J106" s="504" t="s">
        <v>7</v>
      </c>
      <c r="K106" s="504" t="s">
        <v>8</v>
      </c>
      <c r="L106" s="504" t="s">
        <v>9</v>
      </c>
      <c r="M106" s="504" t="s">
        <v>10</v>
      </c>
      <c r="N106" s="505" t="s">
        <v>11</v>
      </c>
    </row>
    <row r="107" spans="2:22" ht="18" customHeight="1" x14ac:dyDescent="0.25">
      <c r="B107" s="530" t="s">
        <v>397</v>
      </c>
      <c r="C107" s="1439">
        <v>1.45</v>
      </c>
      <c r="D107" s="529">
        <v>2</v>
      </c>
      <c r="E107" s="529">
        <v>1</v>
      </c>
      <c r="F107" s="529">
        <v>0.5</v>
      </c>
      <c r="G107" s="529">
        <v>3.5</v>
      </c>
      <c r="H107" s="529">
        <v>4.18</v>
      </c>
      <c r="I107" s="529">
        <v>3.25</v>
      </c>
      <c r="J107" s="529">
        <v>0</v>
      </c>
      <c r="K107" s="529">
        <v>5.3</v>
      </c>
      <c r="L107" s="529">
        <v>3.42</v>
      </c>
      <c r="M107" s="529">
        <v>3.5</v>
      </c>
      <c r="N107" s="529">
        <v>1</v>
      </c>
    </row>
    <row r="108" spans="2:22" ht="18.75" x14ac:dyDescent="0.3">
      <c r="B108" s="77" t="s">
        <v>27</v>
      </c>
      <c r="C108" s="81">
        <f>C107</f>
        <v>1.45</v>
      </c>
      <c r="D108" s="81">
        <f t="shared" ref="D108:N108" si="15">D107</f>
        <v>2</v>
      </c>
      <c r="E108" s="81">
        <f t="shared" si="15"/>
        <v>1</v>
      </c>
      <c r="F108" s="81">
        <f t="shared" si="15"/>
        <v>0.5</v>
      </c>
      <c r="G108" s="81">
        <f t="shared" si="15"/>
        <v>3.5</v>
      </c>
      <c r="H108" s="81">
        <f t="shared" si="15"/>
        <v>4.18</v>
      </c>
      <c r="I108" s="81">
        <f t="shared" si="15"/>
        <v>3.25</v>
      </c>
      <c r="J108" s="81">
        <f t="shared" si="15"/>
        <v>0</v>
      </c>
      <c r="K108" s="81">
        <f t="shared" si="15"/>
        <v>5.3</v>
      </c>
      <c r="L108" s="81">
        <f t="shared" si="15"/>
        <v>3.42</v>
      </c>
      <c r="M108" s="81">
        <f t="shared" si="15"/>
        <v>3.5</v>
      </c>
      <c r="N108" s="81">
        <f t="shared" si="15"/>
        <v>1</v>
      </c>
    </row>
    <row r="109" spans="2:22" x14ac:dyDescent="0.25">
      <c r="B109" s="1" t="s">
        <v>20</v>
      </c>
      <c r="C109" s="13">
        <v>2</v>
      </c>
      <c r="D109" s="13">
        <v>2</v>
      </c>
      <c r="E109" s="13">
        <v>2</v>
      </c>
      <c r="F109" s="13">
        <v>2</v>
      </c>
      <c r="G109" s="13">
        <v>2</v>
      </c>
      <c r="H109" s="13">
        <v>2</v>
      </c>
      <c r="I109" s="13">
        <v>2</v>
      </c>
      <c r="J109" s="13">
        <v>2</v>
      </c>
      <c r="K109" s="13">
        <v>2</v>
      </c>
      <c r="L109" s="13">
        <v>2</v>
      </c>
      <c r="M109" s="13">
        <v>2</v>
      </c>
      <c r="N109" s="13">
        <v>2</v>
      </c>
    </row>
    <row r="110" spans="2:22" x14ac:dyDescent="0.25">
      <c r="B110" s="8" t="s">
        <v>17</v>
      </c>
      <c r="C110" s="26"/>
      <c r="D110" s="26"/>
      <c r="E110" s="26">
        <f>E$109-E$108</f>
        <v>1</v>
      </c>
      <c r="F110" s="26"/>
      <c r="G110" s="26"/>
      <c r="H110" s="19">
        <f>H$109-H$108</f>
        <v>-2.1799999999999997</v>
      </c>
      <c r="I110" s="26"/>
      <c r="J110" s="26"/>
      <c r="K110" s="26">
        <f>K$109-K$108</f>
        <v>-3.3</v>
      </c>
      <c r="L110" s="26"/>
      <c r="M110" s="26"/>
      <c r="N110" s="26">
        <f>N$109-N$108</f>
        <v>1</v>
      </c>
    </row>
    <row r="114" spans="2:14" ht="15.75" thickBot="1" x14ac:dyDescent="0.3"/>
    <row r="115" spans="2:14" ht="27.75" thickTop="1" thickBot="1" x14ac:dyDescent="0.45">
      <c r="C115" s="38"/>
      <c r="D115" s="38"/>
      <c r="E115" s="1658" t="s">
        <v>1042</v>
      </c>
      <c r="F115" s="1659"/>
      <c r="G115" s="1659"/>
      <c r="H115" s="1659"/>
      <c r="I115" s="1659"/>
      <c r="J115" s="1660"/>
      <c r="K115" s="38"/>
      <c r="L115" s="50"/>
      <c r="M115" s="50"/>
    </row>
    <row r="116" spans="2:14" ht="15.75" thickTop="1" x14ac:dyDescent="0.25"/>
    <row r="117" spans="2:14" ht="15.75" thickBot="1" x14ac:dyDescent="0.3">
      <c r="B117" s="524" t="s">
        <v>1043</v>
      </c>
      <c r="C117" s="21" t="s">
        <v>0</v>
      </c>
      <c r="D117" s="21" t="s">
        <v>1</v>
      </c>
      <c r="E117" s="21" t="s">
        <v>2</v>
      </c>
      <c r="F117" s="21" t="s">
        <v>3</v>
      </c>
      <c r="G117" s="21" t="s">
        <v>4</v>
      </c>
      <c r="H117" s="21" t="s">
        <v>5</v>
      </c>
      <c r="I117" s="21" t="s">
        <v>6</v>
      </c>
      <c r="J117" s="21" t="s">
        <v>7</v>
      </c>
      <c r="K117" s="21" t="s">
        <v>8</v>
      </c>
      <c r="L117" s="21" t="s">
        <v>9</v>
      </c>
      <c r="M117" s="21" t="s">
        <v>10</v>
      </c>
      <c r="N117" s="22" t="s">
        <v>11</v>
      </c>
    </row>
    <row r="118" spans="2:14" ht="18.75" x14ac:dyDescent="0.3">
      <c r="B118" s="77" t="s">
        <v>27</v>
      </c>
      <c r="C118" s="83">
        <v>100</v>
      </c>
      <c r="D118" s="83">
        <v>100</v>
      </c>
      <c r="E118" s="83">
        <v>100</v>
      </c>
      <c r="F118" s="83">
        <v>100</v>
      </c>
      <c r="G118" s="83">
        <v>100</v>
      </c>
      <c r="H118" s="83">
        <v>100</v>
      </c>
      <c r="I118" s="83">
        <v>100</v>
      </c>
      <c r="J118" s="83">
        <v>100</v>
      </c>
      <c r="K118" s="83">
        <v>100</v>
      </c>
      <c r="L118" s="83">
        <v>100</v>
      </c>
      <c r="M118" s="83">
        <v>100</v>
      </c>
      <c r="N118" s="83">
        <v>100</v>
      </c>
    </row>
    <row r="119" spans="2:14" x14ac:dyDescent="0.25">
      <c r="B119" s="1" t="s">
        <v>20</v>
      </c>
      <c r="C119" s="13">
        <v>100</v>
      </c>
      <c r="D119" s="13">
        <v>100</v>
      </c>
      <c r="E119" s="13">
        <v>100</v>
      </c>
      <c r="F119" s="13">
        <v>100</v>
      </c>
      <c r="G119" s="13">
        <v>100</v>
      </c>
      <c r="H119" s="13">
        <v>100</v>
      </c>
      <c r="I119" s="13">
        <v>100</v>
      </c>
      <c r="J119" s="13">
        <v>100</v>
      </c>
      <c r="K119" s="13">
        <v>100</v>
      </c>
      <c r="L119" s="13">
        <v>100</v>
      </c>
      <c r="M119" s="13">
        <v>100</v>
      </c>
      <c r="N119" s="13">
        <v>100</v>
      </c>
    </row>
    <row r="120" spans="2:14" x14ac:dyDescent="0.25">
      <c r="B120" s="8" t="s">
        <v>17</v>
      </c>
      <c r="C120" s="26">
        <f>C119-C118</f>
        <v>0</v>
      </c>
      <c r="D120" s="26">
        <f t="shared" ref="D120:N120" si="16">D119-D118</f>
        <v>0</v>
      </c>
      <c r="E120" s="26">
        <f t="shared" si="16"/>
        <v>0</v>
      </c>
      <c r="F120" s="26">
        <f t="shared" si="16"/>
        <v>0</v>
      </c>
      <c r="G120" s="26">
        <f t="shared" si="16"/>
        <v>0</v>
      </c>
      <c r="H120" s="26">
        <f t="shared" si="16"/>
        <v>0</v>
      </c>
      <c r="I120" s="26">
        <f t="shared" si="16"/>
        <v>0</v>
      </c>
      <c r="J120" s="26">
        <f t="shared" si="16"/>
        <v>0</v>
      </c>
      <c r="K120" s="26">
        <f t="shared" si="16"/>
        <v>0</v>
      </c>
      <c r="L120" s="26">
        <f t="shared" si="16"/>
        <v>0</v>
      </c>
      <c r="M120" s="26">
        <f t="shared" si="16"/>
        <v>0</v>
      </c>
      <c r="N120" s="26">
        <f t="shared" si="16"/>
        <v>0</v>
      </c>
    </row>
    <row r="124" spans="2:14" ht="15.75" thickBot="1" x14ac:dyDescent="0.3"/>
    <row r="125" spans="2:14" ht="27.75" thickTop="1" thickBot="1" x14ac:dyDescent="0.45">
      <c r="C125" s="38"/>
      <c r="D125" s="38"/>
      <c r="E125" s="1658" t="s">
        <v>1044</v>
      </c>
      <c r="F125" s="1659"/>
      <c r="G125" s="1659"/>
      <c r="H125" s="1659"/>
      <c r="I125" s="1659"/>
      <c r="J125" s="1660"/>
      <c r="K125" s="38"/>
      <c r="L125" s="50"/>
      <c r="M125" s="50"/>
    </row>
    <row r="126" spans="2:14" ht="15.75" thickTop="1" x14ac:dyDescent="0.25"/>
    <row r="127" spans="2:14" ht="15.75" thickBot="1" x14ac:dyDescent="0.3">
      <c r="B127" s="524" t="s">
        <v>1045</v>
      </c>
      <c r="C127" s="21" t="s">
        <v>0</v>
      </c>
      <c r="D127" s="21" t="s">
        <v>1</v>
      </c>
      <c r="E127" s="21" t="s">
        <v>2</v>
      </c>
      <c r="F127" s="21" t="s">
        <v>3</v>
      </c>
      <c r="G127" s="21" t="s">
        <v>4</v>
      </c>
      <c r="H127" s="21" t="s">
        <v>5</v>
      </c>
      <c r="I127" s="21" t="s">
        <v>6</v>
      </c>
      <c r="J127" s="21" t="s">
        <v>7</v>
      </c>
      <c r="K127" s="21" t="s">
        <v>8</v>
      </c>
      <c r="L127" s="21" t="s">
        <v>9</v>
      </c>
      <c r="M127" s="21" t="s">
        <v>10</v>
      </c>
      <c r="N127" s="22" t="s">
        <v>11</v>
      </c>
    </row>
    <row r="128" spans="2:14" ht="18.75" x14ac:dyDescent="0.3">
      <c r="B128" s="77" t="s">
        <v>27</v>
      </c>
      <c r="C128" s="83">
        <v>100</v>
      </c>
      <c r="D128" s="83">
        <v>100</v>
      </c>
      <c r="E128" s="83">
        <v>100</v>
      </c>
      <c r="F128" s="83">
        <v>100</v>
      </c>
      <c r="G128" s="83">
        <v>100</v>
      </c>
      <c r="H128" s="83">
        <v>100</v>
      </c>
      <c r="I128" s="83">
        <v>100</v>
      </c>
      <c r="J128" s="83">
        <v>100</v>
      </c>
      <c r="K128" s="83">
        <v>100</v>
      </c>
      <c r="L128" s="83">
        <v>100</v>
      </c>
      <c r="M128" s="83">
        <v>100</v>
      </c>
      <c r="N128" s="83">
        <v>100</v>
      </c>
    </row>
    <row r="129" spans="2:14" x14ac:dyDescent="0.25">
      <c r="B129" s="1" t="s">
        <v>20</v>
      </c>
      <c r="C129" s="13">
        <v>100</v>
      </c>
      <c r="D129" s="13">
        <v>100</v>
      </c>
      <c r="E129" s="13">
        <v>100</v>
      </c>
      <c r="F129" s="13">
        <v>100</v>
      </c>
      <c r="G129" s="13">
        <v>100</v>
      </c>
      <c r="H129" s="13">
        <v>100</v>
      </c>
      <c r="I129" s="13">
        <v>100</v>
      </c>
      <c r="J129" s="13">
        <v>100</v>
      </c>
      <c r="K129" s="13">
        <v>100</v>
      </c>
      <c r="L129" s="13">
        <v>100</v>
      </c>
      <c r="M129" s="13">
        <v>100</v>
      </c>
      <c r="N129" s="13">
        <v>100</v>
      </c>
    </row>
    <row r="130" spans="2:14" x14ac:dyDescent="0.25">
      <c r="B130" s="8" t="s">
        <v>17</v>
      </c>
      <c r="C130" s="26">
        <f>C129-C128</f>
        <v>0</v>
      </c>
      <c r="D130" s="26">
        <f t="shared" ref="D130:N130" si="17">D129-D128</f>
        <v>0</v>
      </c>
      <c r="E130" s="26">
        <f t="shared" si="17"/>
        <v>0</v>
      </c>
      <c r="F130" s="26">
        <f t="shared" si="17"/>
        <v>0</v>
      </c>
      <c r="G130" s="26">
        <f t="shared" si="17"/>
        <v>0</v>
      </c>
      <c r="H130" s="26">
        <f t="shared" si="17"/>
        <v>0</v>
      </c>
      <c r="I130" s="26">
        <f t="shared" si="17"/>
        <v>0</v>
      </c>
      <c r="J130" s="26">
        <f t="shared" si="17"/>
        <v>0</v>
      </c>
      <c r="K130" s="26">
        <f t="shared" si="17"/>
        <v>0</v>
      </c>
      <c r="L130" s="26">
        <f t="shared" si="17"/>
        <v>0</v>
      </c>
      <c r="M130" s="26">
        <f t="shared" si="17"/>
        <v>0</v>
      </c>
      <c r="N130" s="26">
        <f t="shared" si="17"/>
        <v>0</v>
      </c>
    </row>
    <row r="137" spans="2:14" ht="15.75" thickBot="1" x14ac:dyDescent="0.3"/>
    <row r="138" spans="2:14" ht="27.75" thickTop="1" thickBot="1" x14ac:dyDescent="0.45">
      <c r="C138" s="38"/>
      <c r="D138" s="38"/>
      <c r="E138" s="1658" t="s">
        <v>1048</v>
      </c>
      <c r="F138" s="1659"/>
      <c r="G138" s="1659"/>
      <c r="H138" s="1659"/>
      <c r="I138" s="1659"/>
      <c r="J138" s="1659"/>
      <c r="K138" s="1659"/>
      <c r="L138" s="1660"/>
    </row>
    <row r="139" spans="2:14" ht="15.75" thickTop="1" x14ac:dyDescent="0.25"/>
    <row r="140" spans="2:14" ht="15.75" thickBot="1" x14ac:dyDescent="0.3">
      <c r="B140" s="519" t="s">
        <v>1048</v>
      </c>
      <c r="C140" s="516" t="s">
        <v>49</v>
      </c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2:14" ht="18.75" x14ac:dyDescent="0.3">
      <c r="B141" s="77" t="s">
        <v>27</v>
      </c>
      <c r="C141" s="374">
        <v>0</v>
      </c>
      <c r="D141" s="514"/>
      <c r="E141" s="514"/>
      <c r="F141" s="514"/>
      <c r="G141" s="514"/>
      <c r="H141" s="514"/>
      <c r="I141" s="514"/>
      <c r="J141" s="514"/>
      <c r="K141" s="514"/>
      <c r="L141" s="514"/>
    </row>
    <row r="142" spans="2:14" x14ac:dyDescent="0.25">
      <c r="B142" s="1" t="s">
        <v>20</v>
      </c>
      <c r="C142" s="512">
        <v>0</v>
      </c>
      <c r="D142" s="515"/>
      <c r="E142" s="515"/>
      <c r="F142" s="515"/>
      <c r="G142" s="515"/>
      <c r="H142" s="515"/>
      <c r="I142" s="515"/>
      <c r="J142" s="515"/>
      <c r="K142" s="515"/>
      <c r="L142" s="515"/>
    </row>
    <row r="143" spans="2:14" x14ac:dyDescent="0.25">
      <c r="B143" s="8" t="s">
        <v>17</v>
      </c>
      <c r="C143" s="513">
        <f>C142-C141</f>
        <v>0</v>
      </c>
      <c r="D143" s="515"/>
      <c r="E143" s="515"/>
      <c r="F143" s="515"/>
      <c r="G143" s="515"/>
      <c r="H143" s="515"/>
      <c r="I143" s="515"/>
      <c r="J143" s="515"/>
      <c r="K143" s="515"/>
      <c r="L143" s="515"/>
    </row>
    <row r="149" spans="2:12" ht="15.75" thickBot="1" x14ac:dyDescent="0.3"/>
    <row r="150" spans="2:12" ht="27.75" thickTop="1" thickBot="1" x14ac:dyDescent="0.45">
      <c r="C150" s="38"/>
      <c r="D150" s="38"/>
      <c r="E150" s="1658" t="s">
        <v>1049</v>
      </c>
      <c r="F150" s="1659"/>
      <c r="G150" s="1659"/>
      <c r="H150" s="1659"/>
      <c r="I150" s="1659"/>
      <c r="J150" s="1659"/>
      <c r="K150" s="1659"/>
      <c r="L150" s="1660"/>
    </row>
    <row r="151" spans="2:12" ht="15.75" thickTop="1" x14ac:dyDescent="0.25"/>
    <row r="152" spans="2:12" ht="15.75" thickBot="1" x14ac:dyDescent="0.3">
      <c r="B152" s="519" t="s">
        <v>1049</v>
      </c>
      <c r="C152" s="516" t="s">
        <v>49</v>
      </c>
      <c r="D152" s="42"/>
      <c r="E152" s="42"/>
      <c r="F152" s="42"/>
      <c r="G152" s="42"/>
      <c r="H152" s="42"/>
      <c r="I152" s="42"/>
      <c r="J152" s="42"/>
      <c r="K152" s="42"/>
      <c r="L152" s="42"/>
    </row>
    <row r="153" spans="2:12" ht="18.75" x14ac:dyDescent="0.3">
      <c r="B153" s="77" t="s">
        <v>27</v>
      </c>
      <c r="C153" s="374">
        <v>1</v>
      </c>
      <c r="D153" s="514"/>
      <c r="E153" s="514"/>
      <c r="F153" s="514"/>
      <c r="G153" s="514"/>
      <c r="H153" s="514"/>
      <c r="I153" s="514"/>
      <c r="J153" s="514"/>
      <c r="K153" s="514"/>
      <c r="L153" s="514"/>
    </row>
    <row r="154" spans="2:12" x14ac:dyDescent="0.25">
      <c r="B154" s="1" t="s">
        <v>20</v>
      </c>
      <c r="C154" s="512">
        <v>1</v>
      </c>
      <c r="D154" s="515"/>
      <c r="E154" s="515"/>
      <c r="F154" s="515"/>
      <c r="G154" s="515"/>
      <c r="H154" s="515"/>
      <c r="I154" s="515"/>
      <c r="J154" s="515"/>
      <c r="K154" s="515"/>
      <c r="L154" s="515"/>
    </row>
    <row r="155" spans="2:12" x14ac:dyDescent="0.25">
      <c r="B155" s="8" t="s">
        <v>17</v>
      </c>
      <c r="C155" s="513">
        <f>C154-C153</f>
        <v>0</v>
      </c>
      <c r="D155" s="515"/>
      <c r="E155" s="515"/>
      <c r="F155" s="515"/>
      <c r="G155" s="515"/>
      <c r="H155" s="515"/>
      <c r="I155" s="515"/>
      <c r="J155" s="515"/>
      <c r="K155" s="515"/>
      <c r="L155" s="515"/>
    </row>
    <row r="161" spans="2:14" ht="26.25" x14ac:dyDescent="0.4">
      <c r="B161" s="1681" t="s">
        <v>1054</v>
      </c>
      <c r="C161" s="1681"/>
      <c r="D161" s="1681"/>
      <c r="E161" s="1681"/>
      <c r="F161" s="1681"/>
      <c r="G161" s="1681"/>
      <c r="H161" s="1681"/>
      <c r="I161" s="1681"/>
      <c r="J161" s="1681"/>
      <c r="K161" s="1681"/>
      <c r="L161" s="1681"/>
      <c r="M161" s="1681"/>
      <c r="N161" s="1681"/>
    </row>
    <row r="163" spans="2:14" ht="24" customHeight="1" thickBot="1" x14ac:dyDescent="0.3">
      <c r="B163" s="522" t="s">
        <v>1054</v>
      </c>
      <c r="C163" s="504" t="s">
        <v>0</v>
      </c>
      <c r="D163" s="504" t="s">
        <v>1</v>
      </c>
      <c r="E163" s="504" t="s">
        <v>2</v>
      </c>
      <c r="F163" s="504" t="s">
        <v>3</v>
      </c>
      <c r="G163" s="504" t="s">
        <v>4</v>
      </c>
      <c r="H163" s="504" t="s">
        <v>5</v>
      </c>
      <c r="I163" s="504" t="s">
        <v>6</v>
      </c>
      <c r="J163" s="504" t="s">
        <v>7</v>
      </c>
      <c r="K163" s="504" t="s">
        <v>8</v>
      </c>
      <c r="L163" s="504" t="s">
        <v>9</v>
      </c>
      <c r="M163" s="504" t="s">
        <v>10</v>
      </c>
      <c r="N163" s="505" t="s">
        <v>11</v>
      </c>
    </row>
    <row r="164" spans="2:14" x14ac:dyDescent="0.25">
      <c r="B164" s="1441" t="s">
        <v>1055</v>
      </c>
      <c r="C164" s="1439">
        <v>152</v>
      </c>
      <c r="D164" s="529">
        <v>148</v>
      </c>
      <c r="E164" s="529">
        <v>173</v>
      </c>
      <c r="F164" s="529">
        <v>141</v>
      </c>
      <c r="G164" s="529">
        <v>108</v>
      </c>
      <c r="H164" s="529">
        <v>124</v>
      </c>
      <c r="I164" s="529">
        <v>140</v>
      </c>
      <c r="J164" s="529">
        <v>40</v>
      </c>
      <c r="K164" s="529">
        <v>162</v>
      </c>
      <c r="L164" s="529">
        <v>132</v>
      </c>
      <c r="M164" s="529">
        <v>106</v>
      </c>
      <c r="N164" s="529">
        <v>80</v>
      </c>
    </row>
    <row r="165" spans="2:14" x14ac:dyDescent="0.25">
      <c r="B165" s="1441" t="s">
        <v>1056</v>
      </c>
      <c r="C165" s="1440">
        <v>82</v>
      </c>
      <c r="D165" s="529">
        <v>99</v>
      </c>
      <c r="E165" s="529">
        <v>71</v>
      </c>
      <c r="F165" s="529">
        <v>54</v>
      </c>
      <c r="G165" s="529">
        <v>92</v>
      </c>
      <c r="H165" s="529">
        <v>89</v>
      </c>
      <c r="I165" s="529">
        <v>85</v>
      </c>
      <c r="J165" s="529">
        <v>28</v>
      </c>
      <c r="K165" s="529">
        <v>125</v>
      </c>
      <c r="L165" s="529">
        <v>107</v>
      </c>
      <c r="M165" s="529">
        <v>74</v>
      </c>
      <c r="N165" s="529">
        <v>51</v>
      </c>
    </row>
    <row r="166" spans="2:14" ht="18.75" x14ac:dyDescent="0.3">
      <c r="B166" s="77" t="s">
        <v>27</v>
      </c>
      <c r="C166" s="79">
        <f>(C165/C164)</f>
        <v>0.53947368421052633</v>
      </c>
      <c r="D166" s="79">
        <f t="shared" ref="D166:N166" si="18">(D165/D164)</f>
        <v>0.66891891891891897</v>
      </c>
      <c r="E166" s="79">
        <f t="shared" si="18"/>
        <v>0.41040462427745666</v>
      </c>
      <c r="F166" s="79">
        <f t="shared" si="18"/>
        <v>0.38297872340425532</v>
      </c>
      <c r="G166" s="79">
        <f t="shared" si="18"/>
        <v>0.85185185185185186</v>
      </c>
      <c r="H166" s="79">
        <f t="shared" si="18"/>
        <v>0.717741935483871</v>
      </c>
      <c r="I166" s="79">
        <f t="shared" si="18"/>
        <v>0.6071428571428571</v>
      </c>
      <c r="J166" s="79">
        <f t="shared" si="18"/>
        <v>0.7</v>
      </c>
      <c r="K166" s="79">
        <f t="shared" si="18"/>
        <v>0.77160493827160492</v>
      </c>
      <c r="L166" s="79">
        <f t="shared" si="18"/>
        <v>0.81060606060606055</v>
      </c>
      <c r="M166" s="79">
        <f t="shared" si="18"/>
        <v>0.69811320754716977</v>
      </c>
      <c r="N166" s="79">
        <f t="shared" si="18"/>
        <v>0.63749999999999996</v>
      </c>
    </row>
    <row r="167" spans="2:14" x14ac:dyDescent="0.25">
      <c r="B167" s="1" t="s">
        <v>20</v>
      </c>
      <c r="C167" s="371">
        <v>0.6</v>
      </c>
      <c r="D167" s="371">
        <v>0.6</v>
      </c>
      <c r="E167" s="371">
        <v>0.6</v>
      </c>
      <c r="F167" s="371">
        <v>0.6</v>
      </c>
      <c r="G167" s="371">
        <v>0.6</v>
      </c>
      <c r="H167" s="371">
        <v>0.6</v>
      </c>
      <c r="I167" s="371">
        <v>0.6</v>
      </c>
      <c r="J167" s="371">
        <v>0.6</v>
      </c>
      <c r="K167" s="371">
        <v>0.6</v>
      </c>
      <c r="L167" s="371">
        <v>0.6</v>
      </c>
      <c r="M167" s="371">
        <v>0.6</v>
      </c>
      <c r="N167" s="371">
        <v>0.6</v>
      </c>
    </row>
    <row r="168" spans="2:14" x14ac:dyDescent="0.25">
      <c r="B168" s="8" t="s">
        <v>17</v>
      </c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</row>
    <row r="174" spans="2:14" ht="26.25" x14ac:dyDescent="0.4">
      <c r="B174" s="1681" t="s">
        <v>1057</v>
      </c>
      <c r="C174" s="1681"/>
      <c r="D174" s="1681"/>
      <c r="E174" s="1681"/>
      <c r="F174" s="1681"/>
      <c r="G174" s="1681"/>
      <c r="H174" s="1681"/>
      <c r="I174" s="1681"/>
      <c r="J174" s="1681"/>
      <c r="K174" s="1681"/>
      <c r="L174" s="1681"/>
      <c r="M174" s="1681"/>
      <c r="N174" s="1681"/>
    </row>
    <row r="176" spans="2:14" ht="15.75" thickBot="1" x14ac:dyDescent="0.3">
      <c r="B176" s="522" t="s">
        <v>1057</v>
      </c>
      <c r="C176" s="504" t="s">
        <v>0</v>
      </c>
      <c r="D176" s="504" t="s">
        <v>1</v>
      </c>
      <c r="E176" s="504" t="s">
        <v>2</v>
      </c>
      <c r="F176" s="504" t="s">
        <v>3</v>
      </c>
      <c r="G176" s="504" t="s">
        <v>4</v>
      </c>
      <c r="H176" s="504" t="s">
        <v>5</v>
      </c>
      <c r="I176" s="504" t="s">
        <v>6</v>
      </c>
      <c r="J176" s="504" t="s">
        <v>7</v>
      </c>
      <c r="K176" s="504" t="s">
        <v>8</v>
      </c>
      <c r="L176" s="504" t="s">
        <v>9</v>
      </c>
      <c r="M176" s="504" t="s">
        <v>10</v>
      </c>
      <c r="N176" s="505" t="s">
        <v>11</v>
      </c>
    </row>
    <row r="177" spans="2:14" x14ac:dyDescent="0.25">
      <c r="B177" s="1441" t="s">
        <v>1058</v>
      </c>
      <c r="C177" s="1439">
        <v>5</v>
      </c>
      <c r="D177" s="529">
        <v>2</v>
      </c>
      <c r="E177" s="529">
        <v>4</v>
      </c>
      <c r="F177" s="529">
        <v>5</v>
      </c>
      <c r="G177" s="529">
        <v>3</v>
      </c>
      <c r="H177" s="529">
        <v>3</v>
      </c>
      <c r="I177" s="529">
        <v>6</v>
      </c>
      <c r="J177" s="529">
        <v>2</v>
      </c>
      <c r="K177" s="529">
        <v>3</v>
      </c>
      <c r="L177" s="529">
        <v>6</v>
      </c>
      <c r="M177" s="529">
        <v>6</v>
      </c>
      <c r="N177" s="529">
        <v>1</v>
      </c>
    </row>
    <row r="178" spans="2:14" x14ac:dyDescent="0.25">
      <c r="B178" s="1441" t="s">
        <v>1059</v>
      </c>
      <c r="C178" s="1440">
        <v>3</v>
      </c>
      <c r="D178" s="529">
        <v>0</v>
      </c>
      <c r="E178" s="529">
        <v>1</v>
      </c>
      <c r="F178" s="529">
        <v>3</v>
      </c>
      <c r="G178" s="529">
        <v>1</v>
      </c>
      <c r="H178" s="529">
        <v>0</v>
      </c>
      <c r="I178" s="529">
        <v>0</v>
      </c>
      <c r="J178" s="529">
        <v>0</v>
      </c>
      <c r="K178" s="529">
        <v>0</v>
      </c>
      <c r="L178" s="529">
        <v>1</v>
      </c>
      <c r="M178" s="529">
        <v>0</v>
      </c>
      <c r="N178" s="529">
        <v>0</v>
      </c>
    </row>
    <row r="179" spans="2:14" ht="18.75" x14ac:dyDescent="0.3">
      <c r="B179" s="77" t="s">
        <v>27</v>
      </c>
      <c r="C179" s="81">
        <f>C178</f>
        <v>3</v>
      </c>
      <c r="D179" s="81">
        <f t="shared" ref="D179:H179" si="19">D178</f>
        <v>0</v>
      </c>
      <c r="E179" s="81">
        <f t="shared" si="19"/>
        <v>1</v>
      </c>
      <c r="F179" s="81">
        <f t="shared" si="19"/>
        <v>3</v>
      </c>
      <c r="G179" s="81">
        <f t="shared" si="19"/>
        <v>1</v>
      </c>
      <c r="H179" s="81">
        <f t="shared" si="19"/>
        <v>0</v>
      </c>
      <c r="I179" s="81">
        <f t="shared" ref="I179" si="20">I178</f>
        <v>0</v>
      </c>
      <c r="J179" s="81">
        <f t="shared" ref="J179" si="21">J178</f>
        <v>0</v>
      </c>
      <c r="K179" s="81">
        <f t="shared" ref="K179" si="22">K178</f>
        <v>0</v>
      </c>
      <c r="L179" s="81">
        <f t="shared" ref="L179:M179" si="23">L178</f>
        <v>1</v>
      </c>
      <c r="M179" s="81">
        <f t="shared" si="23"/>
        <v>0</v>
      </c>
      <c r="N179" s="81">
        <f t="shared" ref="N179" si="24">N178</f>
        <v>0</v>
      </c>
    </row>
    <row r="180" spans="2:14" x14ac:dyDescent="0.25">
      <c r="B180" s="1" t="s">
        <v>20</v>
      </c>
      <c r="C180" s="13">
        <v>5</v>
      </c>
      <c r="D180" s="13">
        <v>5</v>
      </c>
      <c r="E180" s="13">
        <v>5</v>
      </c>
      <c r="F180" s="13">
        <v>5</v>
      </c>
      <c r="G180" s="13">
        <v>5</v>
      </c>
      <c r="H180" s="13">
        <v>5</v>
      </c>
      <c r="I180" s="13">
        <v>5</v>
      </c>
      <c r="J180" s="13">
        <v>5</v>
      </c>
      <c r="K180" s="13">
        <v>5</v>
      </c>
      <c r="L180" s="13">
        <v>5</v>
      </c>
      <c r="M180" s="13">
        <v>5</v>
      </c>
      <c r="N180" s="13">
        <v>5</v>
      </c>
    </row>
    <row r="181" spans="2:14" x14ac:dyDescent="0.25">
      <c r="B181" s="8" t="s">
        <v>17</v>
      </c>
      <c r="C181" s="26"/>
      <c r="D181" s="26"/>
      <c r="E181" s="26">
        <f>E$109-E$108</f>
        <v>1</v>
      </c>
      <c r="F181" s="26"/>
      <c r="G181" s="26"/>
      <c r="H181" s="19">
        <f>H$109-H$108</f>
        <v>-2.1799999999999997</v>
      </c>
      <c r="I181" s="26"/>
      <c r="J181" s="26"/>
      <c r="K181" s="26">
        <f>K$109-K$108</f>
        <v>-3.3</v>
      </c>
      <c r="L181" s="26"/>
      <c r="M181" s="26"/>
      <c r="N181" s="26">
        <f>N$109-N$108</f>
        <v>1</v>
      </c>
    </row>
  </sheetData>
  <mergeCells count="34">
    <mergeCell ref="E73:L73"/>
    <mergeCell ref="B104:N104"/>
    <mergeCell ref="C52:K52"/>
    <mergeCell ref="P54:V54"/>
    <mergeCell ref="E62:J62"/>
    <mergeCell ref="Q64:U64"/>
    <mergeCell ref="Q70:T70"/>
    <mergeCell ref="Q82:V82"/>
    <mergeCell ref="Q92:V92"/>
    <mergeCell ref="Q79:T79"/>
    <mergeCell ref="Q72:U72"/>
    <mergeCell ref="E4:I4"/>
    <mergeCell ref="E11:I11"/>
    <mergeCell ref="R14:S14"/>
    <mergeCell ref="E18:I18"/>
    <mergeCell ref="B44:N44"/>
    <mergeCell ref="Q27:T27"/>
    <mergeCell ref="E28:I28"/>
    <mergeCell ref="Q1:T1"/>
    <mergeCell ref="Q9:T9"/>
    <mergeCell ref="Q17:T17"/>
    <mergeCell ref="R52:S52"/>
    <mergeCell ref="Q62:T62"/>
    <mergeCell ref="P44:V44"/>
    <mergeCell ref="P30:T30"/>
    <mergeCell ref="B161:N161"/>
    <mergeCell ref="B174:N174"/>
    <mergeCell ref="P103:V103"/>
    <mergeCell ref="E84:L84"/>
    <mergeCell ref="E94:L94"/>
    <mergeCell ref="E115:J115"/>
    <mergeCell ref="E125:J125"/>
    <mergeCell ref="E138:L138"/>
    <mergeCell ref="E150:L150"/>
  </mergeCells>
  <pageMargins left="0.7" right="0.7" top="0.75" bottom="0.75" header="0.3" footer="0.3"/>
  <pageSetup paperSize="9" orientation="portrait" r:id="rId1"/>
  <ignoredErrors>
    <ignoredError sqref="K23:N23 C88:C89 C99 H60" evalError="1"/>
    <ignoredError sqref="C108:N108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5121" r:id="rId4"/>
      </mc:Fallback>
    </mc:AlternateContent>
  </oleObjects>
  <tableParts count="17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V94"/>
  <sheetViews>
    <sheetView topLeftCell="A7" zoomScale="70" zoomScaleNormal="70" workbookViewId="0">
      <selection activeCell="E41" sqref="E41"/>
    </sheetView>
  </sheetViews>
  <sheetFormatPr baseColWidth="10" defaultRowHeight="15" x14ac:dyDescent="0.25"/>
  <cols>
    <col min="2" max="2" width="40.42578125" customWidth="1"/>
    <col min="3" max="3" width="12.85546875" customWidth="1"/>
    <col min="4" max="4" width="14" customWidth="1"/>
    <col min="5" max="5" width="12.85546875" customWidth="1"/>
    <col min="7" max="7" width="13.28515625" customWidth="1"/>
    <col min="8" max="8" width="13.42578125" bestFit="1" customWidth="1"/>
    <col min="10" max="10" width="12" bestFit="1" customWidth="1"/>
    <col min="11" max="11" width="16.42578125" bestFit="1" customWidth="1"/>
    <col min="12" max="12" width="13" bestFit="1" customWidth="1"/>
    <col min="13" max="13" width="15.42578125" bestFit="1" customWidth="1"/>
    <col min="14" max="14" width="14.28515625" bestFit="1" customWidth="1"/>
  </cols>
  <sheetData>
    <row r="1" spans="2:20" x14ac:dyDescent="0.25">
      <c r="Q1" s="1654" t="s">
        <v>64</v>
      </c>
      <c r="R1" s="1654"/>
      <c r="S1" s="1654"/>
      <c r="T1" s="1654"/>
    </row>
    <row r="3" spans="2:20" ht="15.75" thickBot="1" x14ac:dyDescent="0.3"/>
    <row r="4" spans="2:20" ht="27.75" thickTop="1" thickBot="1" x14ac:dyDescent="0.3">
      <c r="E4" s="1655" t="s">
        <v>64</v>
      </c>
      <c r="F4" s="1656"/>
      <c r="G4" s="1656"/>
      <c r="H4" s="1656"/>
      <c r="I4" s="1657"/>
    </row>
    <row r="5" spans="2:20" ht="15.75" thickTop="1" x14ac:dyDescent="0.25"/>
    <row r="6" spans="2:20" ht="15.75" thickBot="1" x14ac:dyDescent="0.3">
      <c r="B6" s="5" t="s">
        <v>826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f>DATOS!D$46</f>
        <v>0</v>
      </c>
      <c r="D7" s="88">
        <f>DATOS!F$46</f>
        <v>0</v>
      </c>
      <c r="E7" s="88">
        <f>DATOS!H$46</f>
        <v>0</v>
      </c>
      <c r="F7" s="88">
        <f>DATOS!J$46</f>
        <v>0</v>
      </c>
      <c r="G7" s="88">
        <f>DATOS!L$46</f>
        <v>0</v>
      </c>
      <c r="H7" s="88">
        <f>DATOS!N$46</f>
        <v>0</v>
      </c>
      <c r="I7" s="88">
        <f>DATOS!P$46</f>
        <v>0</v>
      </c>
      <c r="J7" s="88">
        <f>DATOS!R$46</f>
        <v>0</v>
      </c>
      <c r="K7" s="88">
        <f>DATOS!T$46</f>
        <v>0</v>
      </c>
      <c r="L7" s="88">
        <f>DATOS!V$46</f>
        <v>0</v>
      </c>
      <c r="M7" s="88">
        <f>DATOS!X$46</f>
        <v>0</v>
      </c>
      <c r="N7" s="88">
        <f>DATOS!Z$46</f>
        <v>0</v>
      </c>
    </row>
    <row r="8" spans="2:20" x14ac:dyDescent="0.25">
      <c r="B8" s="1" t="s">
        <v>20</v>
      </c>
      <c r="C8" s="55">
        <v>10000</v>
      </c>
      <c r="D8" s="55">
        <v>10000</v>
      </c>
      <c r="E8" s="55">
        <v>10000</v>
      </c>
      <c r="F8" s="55">
        <v>10000</v>
      </c>
      <c r="G8" s="55">
        <v>10000</v>
      </c>
      <c r="H8" s="55">
        <v>10000</v>
      </c>
      <c r="I8" s="55">
        <v>10000</v>
      </c>
      <c r="J8" s="55">
        <v>10000</v>
      </c>
      <c r="K8" s="55">
        <v>10000</v>
      </c>
      <c r="L8" s="55">
        <v>10000</v>
      </c>
      <c r="M8" s="55">
        <v>10000</v>
      </c>
      <c r="N8" s="55">
        <v>10000</v>
      </c>
    </row>
    <row r="9" spans="2:20" x14ac:dyDescent="0.25">
      <c r="B9" s="8" t="s">
        <v>17</v>
      </c>
      <c r="C9" s="56">
        <f>C8-C7</f>
        <v>10000</v>
      </c>
      <c r="D9" s="56">
        <f t="shared" ref="D9:N9" si="0">D8-D7</f>
        <v>10000</v>
      </c>
      <c r="E9" s="56">
        <f t="shared" si="0"/>
        <v>10000</v>
      </c>
      <c r="F9" s="56">
        <f t="shared" si="0"/>
        <v>10000</v>
      </c>
      <c r="G9" s="56">
        <f t="shared" si="0"/>
        <v>10000</v>
      </c>
      <c r="H9" s="56">
        <f t="shared" si="0"/>
        <v>10000</v>
      </c>
      <c r="I9" s="56">
        <f t="shared" si="0"/>
        <v>10000</v>
      </c>
      <c r="J9" s="56">
        <f t="shared" si="0"/>
        <v>10000</v>
      </c>
      <c r="K9" s="56">
        <f t="shared" si="0"/>
        <v>10000</v>
      </c>
      <c r="L9" s="56">
        <f t="shared" si="0"/>
        <v>10000</v>
      </c>
      <c r="M9" s="56">
        <f t="shared" si="0"/>
        <v>10000</v>
      </c>
      <c r="N9" s="56">
        <f t="shared" si="0"/>
        <v>10000</v>
      </c>
      <c r="Q9" s="1654" t="s">
        <v>65</v>
      </c>
      <c r="R9" s="1654"/>
      <c r="S9" s="1654"/>
      <c r="T9" s="1654"/>
    </row>
    <row r="10" spans="2:20" ht="15.75" thickBot="1" x14ac:dyDescent="0.3"/>
    <row r="11" spans="2:20" ht="27.75" thickTop="1" thickBot="1" x14ac:dyDescent="0.45">
      <c r="E11" s="1658" t="s">
        <v>65</v>
      </c>
      <c r="F11" s="1659"/>
      <c r="G11" s="1659"/>
      <c r="H11" s="1659"/>
      <c r="I11" s="1660"/>
    </row>
    <row r="12" spans="2:20" ht="15.75" thickTop="1" x14ac:dyDescent="0.25"/>
    <row r="13" spans="2:20" ht="15.75" thickBot="1" x14ac:dyDescent="0.3">
      <c r="B13" s="20" t="s">
        <v>827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3">
        <f>DATOS!D$47</f>
        <v>0</v>
      </c>
      <c r="D14" s="543">
        <f>DATOS!F$47</f>
        <v>0</v>
      </c>
      <c r="E14" s="543">
        <f>DATOS!H$47</f>
        <v>0</v>
      </c>
      <c r="F14" s="543">
        <f>DATOS!J$47</f>
        <v>0</v>
      </c>
      <c r="G14" s="543">
        <f>DATOS!L$47</f>
        <v>0</v>
      </c>
      <c r="H14" s="543">
        <f>DATOS!N$47</f>
        <v>0</v>
      </c>
      <c r="I14" s="543">
        <f>DATOS!P$47</f>
        <v>0</v>
      </c>
      <c r="J14" s="543">
        <f>DATOS!R$47</f>
        <v>0</v>
      </c>
      <c r="K14" s="543">
        <f>DATOS!T$47</f>
        <v>0</v>
      </c>
      <c r="L14" s="543">
        <f>DATOS!V$47</f>
        <v>0</v>
      </c>
      <c r="M14" s="543">
        <f>DATOS!X$47</f>
        <v>0</v>
      </c>
      <c r="N14" s="543">
        <f>DATOS!Z$47</f>
        <v>0</v>
      </c>
      <c r="R14" s="1654" t="s">
        <v>30</v>
      </c>
      <c r="S14" s="1654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2" ht="15.75" thickBot="1" x14ac:dyDescent="0.3">
      <c r="Q17" s="1654" t="s">
        <v>66</v>
      </c>
      <c r="R17" s="1654"/>
      <c r="S17" s="1654"/>
      <c r="T17" s="1654"/>
    </row>
    <row r="18" spans="2:22" ht="27.75" thickTop="1" thickBot="1" x14ac:dyDescent="0.45">
      <c r="E18" s="1658" t="s">
        <v>66</v>
      </c>
      <c r="F18" s="1659"/>
      <c r="G18" s="1659"/>
      <c r="H18" s="1659"/>
      <c r="I18" s="1660"/>
    </row>
    <row r="19" spans="2:22" ht="15.75" thickTop="1" x14ac:dyDescent="0.25"/>
    <row r="20" spans="2:22" ht="15.75" thickBot="1" x14ac:dyDescent="0.3">
      <c r="B20" s="20" t="s">
        <v>828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2" x14ac:dyDescent="0.25">
      <c r="B21" s="11" t="s">
        <v>67</v>
      </c>
      <c r="C21" s="15">
        <f>DATOS!D$48</f>
        <v>0</v>
      </c>
      <c r="D21" s="15">
        <f>DATOS!F$48</f>
        <v>0</v>
      </c>
      <c r="E21" s="15">
        <f>DATOS!H$48</f>
        <v>0</v>
      </c>
      <c r="F21" s="15">
        <f>DATOS!J$48</f>
        <v>0</v>
      </c>
      <c r="G21" s="15">
        <f>DATOS!L$48</f>
        <v>0</v>
      </c>
      <c r="H21" s="15">
        <f>DATOS!N$48</f>
        <v>0</v>
      </c>
      <c r="I21" s="15">
        <f>DATOS!P$48</f>
        <v>0</v>
      </c>
      <c r="J21" s="15">
        <f>DATOS!R$48</f>
        <v>0</v>
      </c>
      <c r="K21" s="15">
        <f>DATOS!T$48</f>
        <v>0</v>
      </c>
      <c r="L21" s="15">
        <f>DATOS!V$48</f>
        <v>0</v>
      </c>
      <c r="M21" s="15">
        <f>DATOS!X$48</f>
        <v>0</v>
      </c>
      <c r="N21" s="15">
        <f>DATOS!Z$48</f>
        <v>0</v>
      </c>
    </row>
    <row r="22" spans="2:22" x14ac:dyDescent="0.25">
      <c r="B22" s="71" t="s">
        <v>63</v>
      </c>
      <c r="C22" s="377">
        <f>DATOS!D$3</f>
        <v>100491.06</v>
      </c>
      <c r="D22" s="377">
        <f>DATOS!F$3</f>
        <v>140829.41</v>
      </c>
      <c r="E22" s="377">
        <f>DATOS!H$3</f>
        <v>78383.17</v>
      </c>
      <c r="F22" s="377">
        <f>DATOS!J$3</f>
        <v>115177.02</v>
      </c>
      <c r="G22" s="377">
        <f>DATOS!L$3</f>
        <v>131578.49</v>
      </c>
      <c r="H22" s="377">
        <f>DATOS!N$3</f>
        <v>146938.93</v>
      </c>
      <c r="I22" s="377">
        <f>DATOS!P$3</f>
        <v>1171781.1100000001</v>
      </c>
      <c r="J22" s="377">
        <f>DATOS!R$3</f>
        <v>15263.97</v>
      </c>
      <c r="K22" s="377">
        <f>DATOS!T$3</f>
        <v>163103.23000000001</v>
      </c>
      <c r="L22" s="377">
        <f>DATOS!V$3</f>
        <v>168743.54</v>
      </c>
      <c r="M22" s="377">
        <f>DATOS!X$3</f>
        <v>154602.73000000001</v>
      </c>
      <c r="N22" s="377">
        <f>DATOS!Z$3</f>
        <v>49042.68</v>
      </c>
    </row>
    <row r="23" spans="2:22" x14ac:dyDescent="0.25">
      <c r="B23" s="1" t="s">
        <v>72</v>
      </c>
      <c r="C23" s="366">
        <f>(C21/C22)</f>
        <v>0</v>
      </c>
      <c r="D23" s="366">
        <f t="shared" ref="D23:N23" si="2">(D21/D22)</f>
        <v>0</v>
      </c>
      <c r="E23" s="366">
        <f t="shared" si="2"/>
        <v>0</v>
      </c>
      <c r="F23" s="366">
        <f t="shared" si="2"/>
        <v>0</v>
      </c>
      <c r="G23" s="366">
        <f t="shared" si="2"/>
        <v>0</v>
      </c>
      <c r="H23" s="366">
        <f t="shared" si="2"/>
        <v>0</v>
      </c>
      <c r="I23" s="366">
        <f t="shared" si="2"/>
        <v>0</v>
      </c>
      <c r="J23" s="366">
        <f t="shared" si="2"/>
        <v>0</v>
      </c>
      <c r="K23" s="366">
        <f t="shared" si="2"/>
        <v>0</v>
      </c>
      <c r="L23" s="366">
        <f t="shared" si="2"/>
        <v>0</v>
      </c>
      <c r="M23" s="366">
        <f t="shared" si="2"/>
        <v>0</v>
      </c>
      <c r="N23" s="366">
        <f t="shared" si="2"/>
        <v>0</v>
      </c>
    </row>
    <row r="24" spans="2:22" ht="18.75" x14ac:dyDescent="0.3">
      <c r="B24" s="77" t="s">
        <v>27</v>
      </c>
      <c r="C24" s="80"/>
      <c r="D24" s="80"/>
      <c r="E24" s="368">
        <f>((C21+D21+E21)/(C22+D22+E22))</f>
        <v>0</v>
      </c>
      <c r="F24" s="80"/>
      <c r="G24" s="80"/>
      <c r="H24" s="368">
        <f>((F21+G21+H21)/(F22+G22+H22))</f>
        <v>0</v>
      </c>
      <c r="I24" s="80"/>
      <c r="J24" s="80"/>
      <c r="K24" s="368">
        <f>((I21+J21+K21)/(I22+J22+K22))</f>
        <v>0</v>
      </c>
      <c r="L24" s="80"/>
      <c r="M24" s="80"/>
      <c r="N24" s="368">
        <f>((L21+M21+N21)/(L22+M22+N22))</f>
        <v>0</v>
      </c>
    </row>
    <row r="25" spans="2:22" x14ac:dyDescent="0.25">
      <c r="B25" s="1" t="s">
        <v>20</v>
      </c>
      <c r="C25" s="18"/>
      <c r="D25" s="18"/>
      <c r="E25" s="686">
        <v>0.02</v>
      </c>
      <c r="F25" s="18"/>
      <c r="G25" s="18"/>
      <c r="H25" s="686">
        <v>0.02</v>
      </c>
      <c r="I25" s="18"/>
      <c r="J25" s="18"/>
      <c r="K25" s="686">
        <v>0.02</v>
      </c>
      <c r="L25" s="18"/>
      <c r="M25" s="18"/>
      <c r="N25" s="371">
        <v>0.02</v>
      </c>
    </row>
    <row r="26" spans="2:22" x14ac:dyDescent="0.25">
      <c r="B26" s="1" t="s">
        <v>17</v>
      </c>
      <c r="C26" s="36"/>
      <c r="D26" s="36"/>
      <c r="E26" s="369">
        <f>E25-E24</f>
        <v>0.02</v>
      </c>
      <c r="F26" s="36"/>
      <c r="G26" s="36"/>
      <c r="H26" s="369">
        <f>H25-H24</f>
        <v>0.02</v>
      </c>
      <c r="I26" s="36"/>
      <c r="J26" s="36"/>
      <c r="K26" s="369">
        <f>K25-K24</f>
        <v>0.02</v>
      </c>
      <c r="L26" s="36"/>
      <c r="M26" s="36"/>
      <c r="N26" s="369">
        <f>N25-N24</f>
        <v>0.02</v>
      </c>
    </row>
    <row r="27" spans="2:22" ht="15.75" thickBot="1" x14ac:dyDescent="0.3">
      <c r="Q27" s="1654" t="s">
        <v>25</v>
      </c>
      <c r="R27" s="1654"/>
      <c r="S27" s="1654"/>
      <c r="T27" s="1654"/>
    </row>
    <row r="28" spans="2:22" ht="26.25" customHeight="1" thickTop="1" thickBot="1" x14ac:dyDescent="0.45">
      <c r="B28" s="1658" t="s">
        <v>68</v>
      </c>
      <c r="C28" s="1682"/>
      <c r="D28" s="1682"/>
      <c r="E28" s="1682"/>
      <c r="F28" s="1682"/>
      <c r="G28" s="1682"/>
      <c r="H28" s="1682"/>
      <c r="I28" s="1682"/>
      <c r="J28" s="1682"/>
      <c r="K28" s="1682"/>
      <c r="L28" s="1682"/>
      <c r="M28" s="1682"/>
      <c r="N28" s="1683"/>
      <c r="P28" s="1668" t="s">
        <v>68</v>
      </c>
      <c r="Q28" s="1668"/>
      <c r="R28" s="1668"/>
      <c r="S28" s="1668"/>
      <c r="T28" s="1668"/>
      <c r="U28" s="1668"/>
      <c r="V28" s="1669"/>
    </row>
    <row r="29" spans="2:22" ht="15.75" thickTop="1" x14ac:dyDescent="0.25"/>
    <row r="30" spans="2:22" ht="30" customHeight="1" thickBot="1" x14ac:dyDescent="0.3">
      <c r="B30" s="523" t="s">
        <v>829</v>
      </c>
      <c r="C30" s="504" t="s">
        <v>0</v>
      </c>
      <c r="D30" s="504" t="s">
        <v>1</v>
      </c>
      <c r="E30" s="504" t="s">
        <v>2</v>
      </c>
      <c r="F30" s="504" t="s">
        <v>3</v>
      </c>
      <c r="G30" s="504" t="s">
        <v>4</v>
      </c>
      <c r="H30" s="504" t="s">
        <v>5</v>
      </c>
      <c r="I30" s="504" t="s">
        <v>6</v>
      </c>
      <c r="J30" s="504" t="s">
        <v>7</v>
      </c>
      <c r="K30" s="504" t="s">
        <v>8</v>
      </c>
      <c r="L30" s="504" t="s">
        <v>9</v>
      </c>
      <c r="M30" s="504" t="s">
        <v>10</v>
      </c>
      <c r="N30" s="505" t="s">
        <v>11</v>
      </c>
    </row>
    <row r="31" spans="2:22" x14ac:dyDescent="0.25">
      <c r="B31" s="11" t="s">
        <v>69</v>
      </c>
      <c r="C31" s="15">
        <f>DATOS!D$50</f>
        <v>0</v>
      </c>
      <c r="D31" s="15">
        <f>DATOS!F$50</f>
        <v>0</v>
      </c>
      <c r="E31" s="15">
        <f>DATOS!H$50</f>
        <v>0</v>
      </c>
      <c r="F31" s="15">
        <f>DATOS!J$50</f>
        <v>0</v>
      </c>
      <c r="G31" s="15">
        <f>DATOS!L$50</f>
        <v>0</v>
      </c>
      <c r="H31" s="15">
        <f>DATOS!N$50</f>
        <v>0</v>
      </c>
      <c r="I31" s="15">
        <f>DATOS!P$50</f>
        <v>0</v>
      </c>
      <c r="J31" s="15">
        <f>DATOS!R$50</f>
        <v>0</v>
      </c>
      <c r="K31" s="15">
        <f>DATOS!T$50</f>
        <v>0</v>
      </c>
      <c r="L31" s="15">
        <f>DATOS!V$50</f>
        <v>0</v>
      </c>
      <c r="M31" s="15">
        <f>DATOS!X$50</f>
        <v>0</v>
      </c>
      <c r="N31" s="15">
        <f>DATOS!Z$50</f>
        <v>0</v>
      </c>
    </row>
    <row r="32" spans="2:22" ht="18.75" x14ac:dyDescent="0.3">
      <c r="B32" s="77" t="s">
        <v>27</v>
      </c>
      <c r="C32" s="82"/>
      <c r="D32" s="82"/>
      <c r="E32" s="82"/>
      <c r="F32" s="82"/>
      <c r="G32" s="82"/>
      <c r="H32" s="82">
        <f>C31+D31+E31+F31+G31+H31</f>
        <v>0</v>
      </c>
      <c r="I32" s="82"/>
      <c r="J32" s="82"/>
      <c r="K32" s="82"/>
      <c r="L32" s="82"/>
      <c r="M32" s="82"/>
      <c r="N32" s="82">
        <f>I31+J31+K31+L31+M31+N31</f>
        <v>0</v>
      </c>
    </row>
    <row r="33" spans="2:22" x14ac:dyDescent="0.25">
      <c r="B33" s="1" t="s">
        <v>20</v>
      </c>
      <c r="C33" s="18"/>
      <c r="D33" s="18"/>
      <c r="E33" s="18"/>
      <c r="F33" s="18"/>
      <c r="G33" s="18"/>
      <c r="H33" s="18">
        <v>1</v>
      </c>
      <c r="I33" s="18"/>
      <c r="J33" s="18"/>
      <c r="K33" s="18"/>
      <c r="L33" s="18"/>
      <c r="M33" s="18"/>
      <c r="N33" s="18">
        <v>1</v>
      </c>
    </row>
    <row r="34" spans="2:22" x14ac:dyDescent="0.25">
      <c r="B34" s="8" t="s">
        <v>17</v>
      </c>
      <c r="C34" s="19"/>
      <c r="D34" s="19"/>
      <c r="E34" s="19"/>
      <c r="F34" s="19"/>
      <c r="G34" s="23"/>
      <c r="H34" s="19">
        <f>H33-H32</f>
        <v>1</v>
      </c>
      <c r="I34" s="23"/>
      <c r="J34" s="19"/>
      <c r="K34" s="57"/>
      <c r="L34" s="19"/>
      <c r="M34" s="19"/>
      <c r="N34" s="19">
        <f>N33-N32</f>
        <v>1</v>
      </c>
    </row>
    <row r="35" spans="2:22" ht="15.75" thickBot="1" x14ac:dyDescent="0.3"/>
    <row r="36" spans="2:22" ht="27.75" thickTop="1" thickBot="1" x14ac:dyDescent="0.45">
      <c r="C36" s="1658" t="s">
        <v>70</v>
      </c>
      <c r="D36" s="1659"/>
      <c r="E36" s="1659"/>
      <c r="F36" s="1659"/>
      <c r="G36" s="1659"/>
      <c r="H36" s="1659"/>
      <c r="I36" s="1659"/>
      <c r="J36" s="1659"/>
      <c r="K36" s="1660"/>
      <c r="R36" s="1654" t="s">
        <v>28</v>
      </c>
      <c r="S36" s="1664"/>
    </row>
    <row r="37" spans="2:22" ht="15.75" thickTop="1" x14ac:dyDescent="0.25"/>
    <row r="38" spans="2:22" ht="30.75" customHeight="1" x14ac:dyDescent="0.25">
      <c r="B38" s="522" t="s">
        <v>830</v>
      </c>
      <c r="C38" s="520" t="s">
        <v>0</v>
      </c>
      <c r="D38" s="520" t="s">
        <v>1</v>
      </c>
      <c r="E38" s="520" t="s">
        <v>2</v>
      </c>
      <c r="F38" s="520" t="s">
        <v>3</v>
      </c>
      <c r="G38" s="520" t="s">
        <v>4</v>
      </c>
      <c r="H38" s="520" t="s">
        <v>5</v>
      </c>
      <c r="I38" s="520" t="s">
        <v>6</v>
      </c>
      <c r="J38" s="520" t="s">
        <v>7</v>
      </c>
      <c r="K38" s="520" t="s">
        <v>8</v>
      </c>
      <c r="L38" s="520" t="s">
        <v>9</v>
      </c>
      <c r="M38" s="520" t="s">
        <v>10</v>
      </c>
      <c r="N38" s="521" t="s">
        <v>11</v>
      </c>
      <c r="P38" s="1654" t="s">
        <v>70</v>
      </c>
      <c r="Q38" s="1654"/>
      <c r="R38" s="1654"/>
      <c r="S38" s="1654"/>
      <c r="T38" s="1654"/>
      <c r="U38" s="1654"/>
      <c r="V38" s="1654"/>
    </row>
    <row r="39" spans="2:22" x14ac:dyDescent="0.25">
      <c r="B39" s="12" t="s">
        <v>79</v>
      </c>
      <c r="C39" s="68">
        <f>DATOS!D$52</f>
        <v>0</v>
      </c>
      <c r="D39" s="68">
        <f>DATOS!F$52</f>
        <v>0</v>
      </c>
      <c r="E39" s="68">
        <f>DATOS!H$52</f>
        <v>0</v>
      </c>
      <c r="F39" s="68">
        <f>DATOS!J$52</f>
        <v>0</v>
      </c>
      <c r="G39" s="68">
        <f>DATOS!L$52</f>
        <v>0</v>
      </c>
      <c r="H39" s="68">
        <f>DATOS!N$52</f>
        <v>0</v>
      </c>
      <c r="I39" s="68">
        <f>DATOS!P$52</f>
        <v>0</v>
      </c>
      <c r="J39" s="68">
        <f>DATOS!R$52</f>
        <v>0</v>
      </c>
      <c r="K39" s="68">
        <f>DATOS!T$52</f>
        <v>0</v>
      </c>
      <c r="L39" s="68">
        <f>DATOS!V$52</f>
        <v>0</v>
      </c>
      <c r="M39" s="68">
        <f>DATOS!X$52</f>
        <v>0</v>
      </c>
      <c r="N39" s="68">
        <f>DATOS!Z$52</f>
        <v>0</v>
      </c>
      <c r="P39" s="969"/>
      <c r="Q39" s="969"/>
      <c r="R39" s="969"/>
      <c r="S39" s="969"/>
      <c r="T39" s="969"/>
      <c r="U39" s="969"/>
      <c r="V39" s="969"/>
    </row>
    <row r="40" spans="2:22" x14ac:dyDescent="0.25">
      <c r="B40" s="1" t="s">
        <v>80</v>
      </c>
      <c r="C40" s="68">
        <f>DATOS!D51</f>
        <v>0</v>
      </c>
      <c r="D40" s="68">
        <f>DATOS!F51</f>
        <v>0</v>
      </c>
      <c r="E40" s="68">
        <f>DATOS!H51</f>
        <v>0</v>
      </c>
      <c r="F40" s="68">
        <f>DATOS!J51</f>
        <v>0</v>
      </c>
      <c r="G40" s="68">
        <f>DATOS!L51</f>
        <v>0</v>
      </c>
      <c r="H40" s="68">
        <f>DATOS!N51</f>
        <v>0</v>
      </c>
      <c r="I40" s="68">
        <f>DATOS!P51</f>
        <v>0</v>
      </c>
      <c r="J40" s="68">
        <f>DATOS!R51</f>
        <v>0</v>
      </c>
      <c r="K40" s="68">
        <f>DATOS!T51</f>
        <v>0</v>
      </c>
      <c r="L40" s="68">
        <f>DATOS!V51</f>
        <v>0</v>
      </c>
      <c r="M40" s="68">
        <f>DATOS!X51</f>
        <v>0</v>
      </c>
      <c r="N40" s="68">
        <f>DATOS!Z51</f>
        <v>0</v>
      </c>
      <c r="P40" s="969"/>
      <c r="Q40" s="969"/>
      <c r="R40" s="969"/>
      <c r="S40" s="969"/>
      <c r="T40" s="969"/>
      <c r="U40" s="969"/>
      <c r="V40" s="969"/>
    </row>
    <row r="41" spans="2:22" x14ac:dyDescent="0.25">
      <c r="B41" s="1" t="s">
        <v>73</v>
      </c>
      <c r="C41" s="33" t="e">
        <f t="shared" ref="C41:N41" si="3">C39/C40</f>
        <v>#DIV/0!</v>
      </c>
      <c r="D41" s="33" t="e">
        <f t="shared" si="3"/>
        <v>#DIV/0!</v>
      </c>
      <c r="E41" s="33" t="e">
        <f t="shared" si="3"/>
        <v>#DIV/0!</v>
      </c>
      <c r="F41" s="33" t="e">
        <f t="shared" si="3"/>
        <v>#DIV/0!</v>
      </c>
      <c r="G41" s="695" t="e">
        <f t="shared" si="3"/>
        <v>#DIV/0!</v>
      </c>
      <c r="H41" s="33" t="e">
        <f t="shared" si="3"/>
        <v>#DIV/0!</v>
      </c>
      <c r="I41" s="33" t="e">
        <f t="shared" si="3"/>
        <v>#DIV/0!</v>
      </c>
      <c r="J41" s="33" t="e">
        <f t="shared" si="3"/>
        <v>#DIV/0!</v>
      </c>
      <c r="K41" s="33" t="e">
        <f t="shared" si="3"/>
        <v>#DIV/0!</v>
      </c>
      <c r="L41" s="33" t="e">
        <f t="shared" si="3"/>
        <v>#DIV/0!</v>
      </c>
      <c r="M41" s="33" t="e">
        <f t="shared" si="3"/>
        <v>#DIV/0!</v>
      </c>
      <c r="N41" s="33" t="e">
        <f t="shared" si="3"/>
        <v>#DIV/0!</v>
      </c>
    </row>
    <row r="42" spans="2:22" ht="18.75" x14ac:dyDescent="0.3">
      <c r="B42" s="77" t="s">
        <v>27</v>
      </c>
      <c r="C42" s="87"/>
      <c r="D42" s="87"/>
      <c r="E42" s="87" t="e">
        <f>(C39+D39+E39)/(C40+D40+E40)</f>
        <v>#DIV/0!</v>
      </c>
      <c r="F42" s="87"/>
      <c r="G42" s="87"/>
      <c r="H42" s="87" t="e">
        <f>(F39+G39+H39)/(F40+G40+H40)</f>
        <v>#DIV/0!</v>
      </c>
      <c r="I42" s="87"/>
      <c r="J42" s="87"/>
      <c r="K42" s="87" t="e">
        <f>(I39+J39+K39)/(I40+J40+K40)</f>
        <v>#DIV/0!</v>
      </c>
      <c r="L42" s="87"/>
      <c r="M42" s="87"/>
      <c r="N42" s="87" t="e">
        <f>(L39+M39+N39)/(L40+M40+N40)</f>
        <v>#DIV/0!</v>
      </c>
    </row>
    <row r="43" spans="2:22" x14ac:dyDescent="0.25">
      <c r="B43" s="1" t="s">
        <v>20</v>
      </c>
      <c r="C43" s="18"/>
      <c r="D43" s="18"/>
      <c r="E43" s="18">
        <v>0.75</v>
      </c>
      <c r="F43" s="18"/>
      <c r="G43" s="18"/>
      <c r="H43" s="18">
        <v>0.75</v>
      </c>
      <c r="I43" s="18"/>
      <c r="J43" s="18"/>
      <c r="K43" s="18">
        <v>0.75</v>
      </c>
      <c r="L43" s="18"/>
      <c r="M43" s="18"/>
      <c r="N43" s="18">
        <v>0.75</v>
      </c>
      <c r="T43" s="970"/>
    </row>
    <row r="44" spans="2:22" x14ac:dyDescent="0.25">
      <c r="B44" s="1" t="s">
        <v>17</v>
      </c>
      <c r="C44" s="36"/>
      <c r="D44" s="36"/>
      <c r="E44" s="36" t="e">
        <f>E43-E42</f>
        <v>#DIV/0!</v>
      </c>
      <c r="F44" s="36"/>
      <c r="G44" s="36"/>
      <c r="H44" s="36" t="e">
        <f>H43-H42</f>
        <v>#DIV/0!</v>
      </c>
      <c r="I44" s="36"/>
      <c r="J44" s="36"/>
      <c r="K44" s="36" t="e">
        <f>K43-K42</f>
        <v>#DIV/0!</v>
      </c>
      <c r="L44" s="36"/>
      <c r="M44" s="36"/>
      <c r="N44" s="36" t="e">
        <f>N43-N42</f>
        <v>#DIV/0!</v>
      </c>
    </row>
    <row r="45" spans="2:22" ht="15.75" thickBot="1" x14ac:dyDescent="0.3"/>
    <row r="46" spans="2:22" ht="27.75" customHeight="1" thickTop="1" thickBot="1" x14ac:dyDescent="0.45">
      <c r="C46" s="38"/>
      <c r="D46" s="38"/>
      <c r="E46" s="1658" t="s">
        <v>71</v>
      </c>
      <c r="F46" s="1659"/>
      <c r="G46" s="1659"/>
      <c r="H46" s="1659"/>
      <c r="I46" s="1659"/>
      <c r="J46" s="1660"/>
      <c r="K46" s="38"/>
      <c r="L46" s="50"/>
      <c r="M46" s="50"/>
      <c r="Q46" s="1654" t="s">
        <v>31</v>
      </c>
      <c r="R46" s="1654"/>
      <c r="S46" s="1654"/>
      <c r="T46" s="1654"/>
    </row>
    <row r="47" spans="2:22" ht="15.75" thickTop="1" x14ac:dyDescent="0.25"/>
    <row r="48" spans="2:22" ht="15.75" thickBot="1" x14ac:dyDescent="0.3">
      <c r="B48" s="524" t="s">
        <v>831</v>
      </c>
      <c r="C48" s="21" t="s">
        <v>0</v>
      </c>
      <c r="D48" s="21" t="s">
        <v>1</v>
      </c>
      <c r="E48" s="21" t="s">
        <v>2</v>
      </c>
      <c r="F48" s="21" t="s">
        <v>3</v>
      </c>
      <c r="G48" s="21" t="s">
        <v>4</v>
      </c>
      <c r="H48" s="21" t="s">
        <v>5</v>
      </c>
      <c r="I48" s="21" t="s">
        <v>6</v>
      </c>
      <c r="J48" s="21" t="s">
        <v>7</v>
      </c>
      <c r="K48" s="21" t="s">
        <v>8</v>
      </c>
      <c r="L48" s="21" t="s">
        <v>9</v>
      </c>
      <c r="M48" s="21" t="s">
        <v>10</v>
      </c>
      <c r="N48" s="22" t="s">
        <v>11</v>
      </c>
      <c r="Q48" s="1654" t="s">
        <v>71</v>
      </c>
      <c r="R48" s="1654"/>
      <c r="S48" s="1654"/>
      <c r="T48" s="1654"/>
      <c r="U48" s="1654"/>
    </row>
    <row r="49" spans="2:21" ht="18.75" x14ac:dyDescent="0.3">
      <c r="B49" s="77" t="s">
        <v>27</v>
      </c>
      <c r="C49" s="83">
        <f>DATOS!D$53</f>
        <v>0</v>
      </c>
      <c r="D49" s="83">
        <f>DATOS!F$53</f>
        <v>0</v>
      </c>
      <c r="E49" s="83">
        <f>DATOS!H$53</f>
        <v>0</v>
      </c>
      <c r="F49" s="83">
        <f>DATOS!J$53</f>
        <v>0</v>
      </c>
      <c r="G49" s="83">
        <f>DATOS!L$53</f>
        <v>0</v>
      </c>
      <c r="H49" s="83">
        <f>DATOS!N$53</f>
        <v>0</v>
      </c>
      <c r="I49" s="83">
        <f>DATOS!P$53</f>
        <v>0</v>
      </c>
      <c r="J49" s="83">
        <f>DATOS!R$53</f>
        <v>0</v>
      </c>
      <c r="K49" s="83">
        <f>DATOS!T$53</f>
        <v>0</v>
      </c>
      <c r="L49" s="83">
        <f>DATOS!V$53</f>
        <v>0</v>
      </c>
      <c r="M49" s="83">
        <f>DATOS!X$53</f>
        <v>0</v>
      </c>
      <c r="N49" s="83">
        <f>DATOS!Z$53</f>
        <v>0</v>
      </c>
    </row>
    <row r="50" spans="2:21" x14ac:dyDescent="0.25">
      <c r="B50" s="1" t="s">
        <v>20</v>
      </c>
      <c r="C50" s="13">
        <v>4</v>
      </c>
      <c r="D50" s="13">
        <v>4</v>
      </c>
      <c r="E50" s="13">
        <v>4</v>
      </c>
      <c r="F50" s="13">
        <v>4</v>
      </c>
      <c r="G50" s="13">
        <v>4</v>
      </c>
      <c r="H50" s="13">
        <v>4</v>
      </c>
      <c r="I50" s="13">
        <v>4</v>
      </c>
      <c r="J50" s="13">
        <v>4</v>
      </c>
      <c r="K50" s="13">
        <v>4</v>
      </c>
      <c r="L50" s="13">
        <v>4</v>
      </c>
      <c r="M50" s="13">
        <v>4</v>
      </c>
      <c r="N50" s="13">
        <v>4</v>
      </c>
    </row>
    <row r="51" spans="2:21" x14ac:dyDescent="0.25">
      <c r="B51" s="8" t="s">
        <v>17</v>
      </c>
      <c r="C51" s="26">
        <f>C50-C49</f>
        <v>4</v>
      </c>
      <c r="D51" s="26">
        <f t="shared" ref="D51:N51" si="4">D50-D49</f>
        <v>4</v>
      </c>
      <c r="E51" s="26">
        <f t="shared" si="4"/>
        <v>4</v>
      </c>
      <c r="F51" s="26">
        <f t="shared" si="4"/>
        <v>4</v>
      </c>
      <c r="G51" s="26">
        <f t="shared" si="4"/>
        <v>4</v>
      </c>
      <c r="H51" s="26">
        <f t="shared" si="4"/>
        <v>4</v>
      </c>
      <c r="I51" s="26">
        <f t="shared" si="4"/>
        <v>4</v>
      </c>
      <c r="J51" s="26">
        <f t="shared" si="4"/>
        <v>4</v>
      </c>
      <c r="K51" s="26">
        <f t="shared" si="4"/>
        <v>4</v>
      </c>
      <c r="L51" s="26">
        <f t="shared" si="4"/>
        <v>4</v>
      </c>
      <c r="M51" s="26">
        <f t="shared" si="4"/>
        <v>4</v>
      </c>
      <c r="N51" s="26">
        <f t="shared" si="4"/>
        <v>4</v>
      </c>
    </row>
    <row r="53" spans="2:21" x14ac:dyDescent="0.25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2:21" x14ac:dyDescent="0.25">
      <c r="Q54" s="1654"/>
      <c r="R54" s="1654"/>
      <c r="S54" s="1654"/>
      <c r="T54" s="1654"/>
    </row>
    <row r="55" spans="2:21" x14ac:dyDescent="0.25"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2:21" ht="15.75" thickBot="1" x14ac:dyDescent="0.3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Q56" s="1665" t="s">
        <v>386</v>
      </c>
      <c r="R56" s="1665"/>
      <c r="S56" s="1665"/>
      <c r="T56" s="1665"/>
      <c r="U56" s="1665"/>
    </row>
    <row r="57" spans="2:21" ht="27.75" thickTop="1" thickBot="1" x14ac:dyDescent="0.45">
      <c r="C57" s="38"/>
      <c r="D57" s="38"/>
      <c r="E57" s="1658" t="s">
        <v>366</v>
      </c>
      <c r="F57" s="1659"/>
      <c r="G57" s="1659"/>
      <c r="H57" s="1659"/>
      <c r="I57" s="1659"/>
      <c r="J57" s="1659"/>
      <c r="K57" s="1659"/>
      <c r="L57" s="1660"/>
      <c r="M57" s="50"/>
    </row>
    <row r="58" spans="2:21" ht="15.75" thickTop="1" x14ac:dyDescent="0.25"/>
    <row r="59" spans="2:21" ht="27.75" customHeight="1" thickBot="1" x14ac:dyDescent="0.3">
      <c r="B59" s="519" t="s">
        <v>832</v>
      </c>
      <c r="C59" s="516" t="s">
        <v>49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2:21" ht="18.75" x14ac:dyDescent="0.3">
      <c r="B60" s="77" t="s">
        <v>27</v>
      </c>
      <c r="C60" s="374" t="e">
        <f>DATOS!AB54</f>
        <v>#DIV/0!</v>
      </c>
      <c r="D60" s="514"/>
      <c r="E60" s="514"/>
      <c r="F60" s="514"/>
      <c r="G60" s="514"/>
      <c r="H60" s="514"/>
      <c r="I60" s="514"/>
      <c r="J60" s="514"/>
      <c r="K60" s="514"/>
      <c r="L60" s="514"/>
      <c r="M60" s="514"/>
      <c r="N60" s="514"/>
    </row>
    <row r="61" spans="2:21" x14ac:dyDescent="0.25">
      <c r="B61" s="1" t="s">
        <v>20</v>
      </c>
      <c r="C61" s="512">
        <v>1</v>
      </c>
      <c r="D61" s="515"/>
      <c r="E61" s="515"/>
      <c r="F61" s="515"/>
      <c r="G61" s="515"/>
      <c r="H61" s="515"/>
      <c r="I61" s="515"/>
      <c r="J61" s="515"/>
      <c r="K61" s="515"/>
      <c r="L61" s="515"/>
      <c r="M61" s="515"/>
      <c r="N61" s="515"/>
    </row>
    <row r="62" spans="2:21" x14ac:dyDescent="0.25">
      <c r="B62" s="8" t="s">
        <v>17</v>
      </c>
      <c r="C62" s="513" t="e">
        <f>C60-C61</f>
        <v>#DIV/0!</v>
      </c>
      <c r="D62" s="515"/>
      <c r="E62" s="515"/>
      <c r="F62" s="515"/>
      <c r="G62" s="515"/>
      <c r="H62" s="515"/>
      <c r="I62" s="515"/>
      <c r="J62" s="515"/>
      <c r="K62" s="515"/>
      <c r="L62" s="515"/>
      <c r="M62" s="515"/>
      <c r="N62" s="515"/>
    </row>
    <row r="63" spans="2:21" x14ac:dyDescent="0.25">
      <c r="B63" s="45"/>
      <c r="C63" s="517"/>
      <c r="D63" s="515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Q63" s="1654"/>
      <c r="R63" s="1654"/>
      <c r="S63" s="1654"/>
      <c r="T63" s="1654"/>
    </row>
    <row r="64" spans="2:21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 spans="2:22" x14ac:dyDescent="0.25"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2:22" x14ac:dyDescent="0.25">
      <c r="B66" s="4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Q66" s="1665" t="s">
        <v>389</v>
      </c>
      <c r="R66" s="1665"/>
      <c r="S66" s="1665"/>
      <c r="T66" s="1665"/>
      <c r="U66" s="1665"/>
      <c r="V66" s="1665"/>
    </row>
    <row r="67" spans="2:22" ht="15.75" thickBot="1" x14ac:dyDescent="0.3">
      <c r="B67" s="45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spans="2:22" ht="27.75" thickTop="1" thickBot="1" x14ac:dyDescent="0.45">
      <c r="C68" s="38"/>
      <c r="D68" s="38"/>
      <c r="E68" s="1658" t="s">
        <v>387</v>
      </c>
      <c r="F68" s="1659"/>
      <c r="G68" s="1659"/>
      <c r="H68" s="1659"/>
      <c r="I68" s="1659"/>
      <c r="J68" s="1659"/>
      <c r="K68" s="1659"/>
      <c r="L68" s="1660"/>
      <c r="M68" s="50"/>
    </row>
    <row r="69" spans="2:22" ht="15.75" thickTop="1" x14ac:dyDescent="0.25"/>
    <row r="70" spans="2:22" ht="15.75" thickBot="1" x14ac:dyDescent="0.3">
      <c r="B70" s="519" t="s">
        <v>833</v>
      </c>
      <c r="C70" s="516" t="s">
        <v>49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2:22" ht="18.75" x14ac:dyDescent="0.3">
      <c r="B71" s="77" t="s">
        <v>27</v>
      </c>
      <c r="C71" s="374">
        <f>DATOS!Z55</f>
        <v>0</v>
      </c>
      <c r="D71" s="514"/>
      <c r="E71" s="514"/>
      <c r="F71" s="514"/>
      <c r="G71" s="514"/>
      <c r="H71" s="514"/>
      <c r="I71" s="514"/>
      <c r="J71" s="514"/>
      <c r="K71" s="514"/>
      <c r="L71" s="514"/>
      <c r="M71" s="514"/>
      <c r="N71" s="514"/>
    </row>
    <row r="72" spans="2:22" x14ac:dyDescent="0.25">
      <c r="B72" s="1" t="s">
        <v>20</v>
      </c>
      <c r="C72" s="512">
        <v>0</v>
      </c>
      <c r="D72" s="515"/>
      <c r="E72" s="515"/>
      <c r="F72" s="515"/>
      <c r="G72" s="515"/>
      <c r="H72" s="515"/>
      <c r="I72" s="515"/>
      <c r="J72" s="515"/>
      <c r="K72" s="515"/>
      <c r="L72" s="515"/>
      <c r="M72" s="515"/>
      <c r="N72" s="515"/>
    </row>
    <row r="73" spans="2:22" x14ac:dyDescent="0.25">
      <c r="B73" s="8" t="s">
        <v>17</v>
      </c>
      <c r="C73" s="513">
        <f>C72-C71</f>
        <v>0</v>
      </c>
      <c r="D73" s="515"/>
      <c r="E73" s="515"/>
      <c r="F73" s="515"/>
      <c r="G73" s="515"/>
      <c r="H73" s="515"/>
      <c r="I73" s="515"/>
      <c r="J73" s="515"/>
      <c r="K73" s="515"/>
      <c r="L73" s="515"/>
      <c r="M73" s="515"/>
      <c r="N73" s="515"/>
    </row>
    <row r="76" spans="2:22" x14ac:dyDescent="0.25">
      <c r="Q76" s="1665" t="s">
        <v>388</v>
      </c>
      <c r="R76" s="1665"/>
      <c r="S76" s="1665"/>
      <c r="T76" s="1665"/>
      <c r="U76" s="1665"/>
      <c r="V76" s="1665"/>
    </row>
    <row r="77" spans="2:22" ht="15.75" thickBot="1" x14ac:dyDescent="0.3"/>
    <row r="78" spans="2:22" ht="27.75" thickTop="1" thickBot="1" x14ac:dyDescent="0.45">
      <c r="C78" s="38"/>
      <c r="D78" s="38"/>
      <c r="E78" s="1658" t="s">
        <v>388</v>
      </c>
      <c r="F78" s="1659"/>
      <c r="G78" s="1659"/>
      <c r="H78" s="1659"/>
      <c r="I78" s="1659"/>
      <c r="J78" s="1659"/>
      <c r="K78" s="1659"/>
      <c r="L78" s="1660"/>
      <c r="M78" s="50"/>
    </row>
    <row r="79" spans="2:22" ht="15.75" thickTop="1" x14ac:dyDescent="0.25"/>
    <row r="80" spans="2:22" ht="15.75" thickBot="1" x14ac:dyDescent="0.3">
      <c r="B80" s="519" t="s">
        <v>834</v>
      </c>
      <c r="C80" s="516" t="s">
        <v>49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2" ht="18.75" x14ac:dyDescent="0.3">
      <c r="B81" s="77" t="s">
        <v>27</v>
      </c>
      <c r="C81" s="374">
        <f>DATOS!Z56</f>
        <v>0</v>
      </c>
      <c r="D81" s="514"/>
      <c r="E81" s="514"/>
      <c r="F81" s="514"/>
      <c r="G81" s="514"/>
      <c r="H81" s="514"/>
      <c r="I81" s="514"/>
      <c r="J81" s="514"/>
      <c r="K81" s="514"/>
      <c r="L81" s="514"/>
      <c r="M81" s="514"/>
      <c r="N81" s="514"/>
    </row>
    <row r="82" spans="2:22" x14ac:dyDescent="0.25">
      <c r="B82" s="1" t="s">
        <v>20</v>
      </c>
      <c r="C82" s="512">
        <v>0</v>
      </c>
      <c r="D82" s="515"/>
      <c r="E82" s="515"/>
      <c r="F82" s="515"/>
      <c r="G82" s="515"/>
      <c r="H82" s="515"/>
      <c r="I82" s="515"/>
      <c r="J82" s="515"/>
      <c r="K82" s="515"/>
      <c r="L82" s="515"/>
      <c r="M82" s="515"/>
      <c r="N82" s="515"/>
    </row>
    <row r="83" spans="2:22" x14ac:dyDescent="0.25">
      <c r="B83" s="8" t="s">
        <v>17</v>
      </c>
      <c r="C83" s="513">
        <f>C82-C81</f>
        <v>0</v>
      </c>
      <c r="D83" s="515"/>
      <c r="E83" s="515"/>
      <c r="F83" s="515"/>
      <c r="G83" s="515"/>
      <c r="H83" s="515"/>
      <c r="I83" s="515"/>
      <c r="J83" s="515"/>
      <c r="K83" s="515"/>
      <c r="L83" s="515"/>
      <c r="M83" s="515"/>
      <c r="N83" s="515"/>
    </row>
    <row r="87" spans="2:22" x14ac:dyDescent="0.25">
      <c r="P87" s="1665" t="s">
        <v>392</v>
      </c>
      <c r="Q87" s="1665"/>
      <c r="R87" s="1665"/>
      <c r="S87" s="1665"/>
      <c r="T87" s="1665"/>
      <c r="U87" s="1665"/>
      <c r="V87" s="1665"/>
    </row>
    <row r="88" spans="2:22" ht="27.75" customHeight="1" x14ac:dyDescent="0.4">
      <c r="B88" s="1681" t="s">
        <v>390</v>
      </c>
      <c r="C88" s="1681"/>
      <c r="D88" s="1681"/>
      <c r="E88" s="1681"/>
      <c r="F88" s="1681"/>
      <c r="G88" s="1681"/>
      <c r="H88" s="1681"/>
      <c r="I88" s="1681"/>
      <c r="J88" s="1681"/>
      <c r="K88" s="1681"/>
      <c r="L88" s="1681"/>
      <c r="M88" s="1681"/>
      <c r="N88" s="1681"/>
    </row>
    <row r="90" spans="2:22" ht="33.75" customHeight="1" thickBot="1" x14ac:dyDescent="0.3">
      <c r="B90" s="523" t="s">
        <v>391</v>
      </c>
      <c r="C90" s="504" t="s">
        <v>0</v>
      </c>
      <c r="D90" s="504" t="s">
        <v>1</v>
      </c>
      <c r="E90" s="504" t="s">
        <v>2</v>
      </c>
      <c r="F90" s="504" t="s">
        <v>3</v>
      </c>
      <c r="G90" s="504" t="s">
        <v>4</v>
      </c>
      <c r="H90" s="504" t="s">
        <v>5</v>
      </c>
      <c r="I90" s="504" t="s">
        <v>6</v>
      </c>
      <c r="J90" s="504" t="s">
        <v>7</v>
      </c>
      <c r="K90" s="504" t="s">
        <v>8</v>
      </c>
      <c r="L90" s="504" t="s">
        <v>9</v>
      </c>
      <c r="M90" s="504" t="s">
        <v>10</v>
      </c>
      <c r="N90" s="505" t="s">
        <v>11</v>
      </c>
    </row>
    <row r="91" spans="2:22" ht="18" customHeight="1" x14ac:dyDescent="0.25">
      <c r="B91" s="530" t="s">
        <v>397</v>
      </c>
      <c r="C91" s="529">
        <f>DATOS!D57</f>
        <v>0</v>
      </c>
      <c r="D91" s="529">
        <f>DATOS!F57</f>
        <v>0</v>
      </c>
      <c r="E91" s="529">
        <f>DATOS!H57</f>
        <v>0</v>
      </c>
      <c r="F91" s="529">
        <f>DATOS!J57</f>
        <v>0</v>
      </c>
      <c r="G91" s="529">
        <f>DATOS!L57</f>
        <v>0</v>
      </c>
      <c r="H91" s="529">
        <f>DATOS!N57</f>
        <v>0</v>
      </c>
      <c r="I91" s="529">
        <f>DATOS!P57</f>
        <v>0</v>
      </c>
      <c r="J91" s="529">
        <f>DATOS!R57</f>
        <v>0</v>
      </c>
      <c r="K91" s="529">
        <f>DATOS!T57</f>
        <v>0</v>
      </c>
      <c r="L91" s="529">
        <f>DATOS!V57</f>
        <v>0</v>
      </c>
      <c r="M91" s="529">
        <f>DATOS!X57</f>
        <v>0</v>
      </c>
      <c r="N91" s="529">
        <f>DATOS!Z57</f>
        <v>0</v>
      </c>
    </row>
    <row r="92" spans="2:22" ht="18.75" x14ac:dyDescent="0.3">
      <c r="B92" s="77" t="s">
        <v>27</v>
      </c>
      <c r="C92" s="83"/>
      <c r="D92" s="83"/>
      <c r="E92" s="83">
        <f>C91+D91+E91</f>
        <v>0</v>
      </c>
      <c r="F92" s="83"/>
      <c r="G92" s="83"/>
      <c r="H92" s="694">
        <f>F91+G91+H91</f>
        <v>0</v>
      </c>
      <c r="I92" s="83"/>
      <c r="J92" s="83"/>
      <c r="K92" s="83">
        <f>I91+J91+K91</f>
        <v>0</v>
      </c>
      <c r="L92" s="83"/>
      <c r="M92" s="83"/>
      <c r="N92" s="83">
        <f>L91+M91+N91</f>
        <v>0</v>
      </c>
    </row>
    <row r="93" spans="2:22" x14ac:dyDescent="0.25">
      <c r="B93" s="1" t="s">
        <v>20</v>
      </c>
      <c r="C93" s="13"/>
      <c r="D93" s="13"/>
      <c r="E93" s="13">
        <v>2</v>
      </c>
      <c r="F93" s="13"/>
      <c r="G93" s="13"/>
      <c r="H93" s="13">
        <v>2</v>
      </c>
      <c r="I93" s="13"/>
      <c r="J93" s="13"/>
      <c r="K93" s="13">
        <v>2</v>
      </c>
      <c r="L93" s="13"/>
      <c r="M93" s="13"/>
      <c r="N93" s="13">
        <v>2</v>
      </c>
    </row>
    <row r="94" spans="2:22" x14ac:dyDescent="0.25">
      <c r="B94" s="8" t="s">
        <v>17</v>
      </c>
      <c r="C94" s="26"/>
      <c r="D94" s="26"/>
      <c r="E94" s="26">
        <f>E$93-E$92</f>
        <v>2</v>
      </c>
      <c r="F94" s="26"/>
      <c r="G94" s="26"/>
      <c r="H94" s="19">
        <f>H$93-H$92</f>
        <v>2</v>
      </c>
      <c r="I94" s="26"/>
      <c r="J94" s="26"/>
      <c r="K94" s="26">
        <f>K$93-K$92</f>
        <v>2</v>
      </c>
      <c r="L94" s="26"/>
      <c r="M94" s="26"/>
      <c r="N94" s="26">
        <f>N$93-N$92</f>
        <v>2</v>
      </c>
    </row>
  </sheetData>
  <mergeCells count="26">
    <mergeCell ref="Q17:T17"/>
    <mergeCell ref="Q1:T1"/>
    <mergeCell ref="E4:I4"/>
    <mergeCell ref="Q9:T9"/>
    <mergeCell ref="E11:I11"/>
    <mergeCell ref="R14:S14"/>
    <mergeCell ref="Q56:U56"/>
    <mergeCell ref="E18:I18"/>
    <mergeCell ref="Q27:T27"/>
    <mergeCell ref="B28:N28"/>
    <mergeCell ref="P28:V28"/>
    <mergeCell ref="C36:K36"/>
    <mergeCell ref="R36:S36"/>
    <mergeCell ref="P38:V38"/>
    <mergeCell ref="E46:J46"/>
    <mergeCell ref="Q46:T46"/>
    <mergeCell ref="Q48:U48"/>
    <mergeCell ref="Q54:T54"/>
    <mergeCell ref="P87:V87"/>
    <mergeCell ref="B88:N88"/>
    <mergeCell ref="E57:L57"/>
    <mergeCell ref="Q63:T63"/>
    <mergeCell ref="Q66:V66"/>
    <mergeCell ref="E68:L68"/>
    <mergeCell ref="Q76:V76"/>
    <mergeCell ref="E78:L78"/>
  </mergeCells>
  <pageMargins left="0.7" right="0.7" top="0.75" bottom="0.75" header="0.3" footer="0.3"/>
  <ignoredErrors>
    <ignoredError sqref="H23:N26 D41:N44" evalError="1"/>
    <ignoredError sqref="C39:C40 C42" calculatedColumn="1"/>
    <ignoredError sqref="C41" evalError="1" calculatedColumn="1"/>
  </ignoredErrors>
  <drawing r:id="rId1"/>
  <legacyDrawing r:id="rId2"/>
  <oleObjects>
    <mc:AlternateContent xmlns:mc="http://schemas.openxmlformats.org/markup-compatibility/2006">
      <mc:Choice Requires="x14">
        <oleObject progId="MSPhotoEd.3" shapeId="43009" r:id="rId3">
          <objectPr defaultSize="0" autoPict="0" r:id="rId4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43009" r:id="rId3"/>
      </mc:Fallback>
    </mc:AlternateContent>
  </oleObjects>
  <tableParts count="10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6</vt:i4>
      </vt:variant>
    </vt:vector>
  </HeadingPairs>
  <TitlesOfParts>
    <vt:vector size="37" baseType="lpstr">
      <vt:lpstr>DATOS</vt:lpstr>
      <vt:lpstr>MATG-JGS-JAAR AÑO (LINARES)</vt:lpstr>
      <vt:lpstr>MATG (SESEÑA)</vt:lpstr>
      <vt:lpstr>RSB (LINARES)</vt:lpstr>
      <vt:lpstr>RSB (SESEÑA)</vt:lpstr>
      <vt:lpstr>JCC-NLM AÑO (LINARES)</vt:lpstr>
      <vt:lpstr>MMN (SESEÑA)</vt:lpstr>
      <vt:lpstr>JNL-MCG AÑO (LINARES)</vt:lpstr>
      <vt:lpstr>MAC (SESEÑA)</vt:lpstr>
      <vt:lpstr>AÑO (LINARES)NUEVOS</vt:lpstr>
      <vt:lpstr>AÑO (LINARES)</vt:lpstr>
      <vt:lpstr>AÑO (SESEÑA)</vt:lpstr>
      <vt:lpstr>COMPARAC. REAL-PRESUPUESTO (L)</vt:lpstr>
      <vt:lpstr>COMPARAC. REAL-PRESUPUESTO (S)</vt:lpstr>
      <vt:lpstr>EVOLUCION RATIOS (LINARES) </vt:lpstr>
      <vt:lpstr>EVOLUCION RATIOS (SESEÑA)</vt:lpstr>
      <vt:lpstr>PRODUCTIV. OPERARIO X DIA (L)</vt:lpstr>
      <vt:lpstr>PRODUCTIV. OPERARIO X DIA (S)</vt:lpstr>
      <vt:lpstr>DATOS PERSONAL (L)</vt:lpstr>
      <vt:lpstr>DATOS PERSONAL (S)</vt:lpstr>
      <vt:lpstr>DESCLOSE FACTURACION</vt:lpstr>
      <vt:lpstr>FACTURACION %CLIENTES</vt:lpstr>
      <vt:lpstr>QUECAMBIARCADAMES</vt:lpstr>
      <vt:lpstr>Ventas por Grupo Cliente 2015</vt:lpstr>
      <vt:lpstr>Promedio Fact x día trabajo</vt:lpstr>
      <vt:lpstr>Comparación Vtas mes 2014-2015</vt:lpstr>
      <vt:lpstr>Comparación Acum. Vtas 2014-15</vt:lpstr>
      <vt:lpstr>Evolucion del presonal 2015</vt:lpstr>
      <vt:lpstr>Clasificación del personal</vt:lpstr>
      <vt:lpstr>Resumen evaluación aprobados</vt:lpstr>
      <vt:lpstr>Presupuesto 2015 (Plantilla)</vt:lpstr>
      <vt:lpstr>'Comparación Acum. Vtas 2014-15'!Área_de_impresión</vt:lpstr>
      <vt:lpstr>'Comparación Vtas mes 2014-2015'!Área_de_impresión</vt:lpstr>
      <vt:lpstr>'FACTURACION %CLIENTES'!Área_de_impresión</vt:lpstr>
      <vt:lpstr>'PRODUCTIV. OPERARIO X DIA (L)'!Área_de_impresión</vt:lpstr>
      <vt:lpstr>'Promedio Fact x día trabajo'!Área_de_impresión</vt:lpstr>
      <vt:lpstr>'Ventas por Grupo Cliente 2015'!Área_de_impresión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Juan Antonio Anguita</cp:lastModifiedBy>
  <cp:lastPrinted>2014-06-19T07:55:35Z</cp:lastPrinted>
  <dcterms:created xsi:type="dcterms:W3CDTF">2007-11-10T09:04:57Z</dcterms:created>
  <dcterms:modified xsi:type="dcterms:W3CDTF">2016-07-06T07:38:04Z</dcterms:modified>
</cp:coreProperties>
</file>